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800" windowHeight="11268" activeTab="1"/>
  </bookViews>
  <sheets>
    <sheet name="Приложение 1" sheetId="1" r:id="rId1"/>
    <sheet name="Приложение 2" sheetId="2" r:id="rId2"/>
    <sheet name="Приложение 3" sheetId="5" r:id="rId3"/>
  </sheets>
  <definedNames>
    <definedName name="_xlnm._FilterDatabase" localSheetId="0" hidden="1">'Приложение 1'!$A$5:$M$207</definedName>
    <definedName name="_xlnm._FilterDatabase" localSheetId="1" hidden="1">'Приложение 2'!$A$5:$M$247</definedName>
    <definedName name="_xlnm._FilterDatabase" localSheetId="2" hidden="1">'Приложение 3'!$A$5:$O$5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Area" localSheetId="0">'Приложение 1'!$A$1:$P$182</definedName>
    <definedName name="_xlnm.Print_Area" localSheetId="1">'Приложение 2'!$A$1:$P$256</definedName>
    <definedName name="_xlnm.Print_Area" localSheetId="2">'Приложение 3'!$A$1:$P$78</definedName>
  </definedNames>
  <calcPr calcId="162913"/>
</workbook>
</file>

<file path=xl/calcChain.xml><?xml version="1.0" encoding="utf-8"?>
<calcChain xmlns="http://schemas.openxmlformats.org/spreadsheetml/2006/main">
  <c r="N44" i="5" l="1"/>
  <c r="N15" i="5" l="1"/>
  <c r="O15" i="5"/>
  <c r="N21" i="5"/>
  <c r="O21" i="5"/>
  <c r="N33" i="5"/>
  <c r="O33" i="5"/>
  <c r="O44" i="5"/>
  <c r="N51" i="5"/>
  <c r="N50" i="5" s="1"/>
  <c r="O51" i="5"/>
  <c r="O50" i="5" s="1"/>
  <c r="N14" i="5" l="1"/>
  <c r="N13" i="5" s="1"/>
  <c r="N12" i="5" s="1"/>
  <c r="N11" i="5" s="1"/>
  <c r="N10" i="5" s="1"/>
  <c r="N9" i="5" s="1"/>
  <c r="N8" i="5" s="1"/>
  <c r="N7" i="5" s="1"/>
  <c r="O14" i="5"/>
  <c r="O13" i="5" s="1"/>
  <c r="O12" i="5" s="1"/>
  <c r="O11" i="5" s="1"/>
  <c r="O10" i="5" s="1"/>
  <c r="O9" i="5" s="1"/>
  <c r="O8" i="5" s="1"/>
  <c r="O7" i="5" s="1"/>
  <c r="N60" i="5"/>
  <c r="N59" i="5" s="1"/>
  <c r="N58" i="5" s="1"/>
  <c r="N57" i="5" s="1"/>
  <c r="N56" i="5" s="1"/>
  <c r="N55" i="5" s="1"/>
  <c r="N54" i="5" s="1"/>
  <c r="N53" i="5" s="1"/>
  <c r="O60" i="5"/>
  <c r="P60" i="5" s="1"/>
  <c r="M60" i="5"/>
  <c r="P61" i="5"/>
  <c r="P62" i="5"/>
  <c r="N144" i="2"/>
  <c r="O144" i="2"/>
  <c r="P214" i="2"/>
  <c r="P203" i="2"/>
  <c r="P190" i="2"/>
  <c r="P189" i="2"/>
  <c r="P173" i="2"/>
  <c r="P172" i="2"/>
  <c r="P163" i="2"/>
  <c r="P139" i="2"/>
  <c r="P132" i="2"/>
  <c r="P120" i="2"/>
  <c r="P96" i="2"/>
  <c r="P95" i="2"/>
  <c r="P89" i="2"/>
  <c r="P87" i="2"/>
  <c r="P85" i="2"/>
  <c r="P74" i="2"/>
  <c r="P65" i="2"/>
  <c r="P39" i="2"/>
  <c r="P37" i="2"/>
  <c r="P27" i="1"/>
  <c r="P28" i="1"/>
  <c r="P29" i="1"/>
  <c r="P30" i="1"/>
  <c r="P31" i="1"/>
  <c r="P32" i="1"/>
  <c r="P33" i="1"/>
  <c r="P34" i="1"/>
  <c r="P45" i="1"/>
  <c r="P71" i="1"/>
  <c r="P80" i="1"/>
  <c r="P98" i="1"/>
  <c r="P132" i="1"/>
  <c r="P164" i="1"/>
  <c r="N15" i="2"/>
  <c r="O15" i="2"/>
  <c r="N17" i="2"/>
  <c r="O17" i="2"/>
  <c r="N19" i="2"/>
  <c r="O19" i="2"/>
  <c r="N27" i="2"/>
  <c r="N26" i="2" s="1"/>
  <c r="N25" i="2" s="1"/>
  <c r="N24" i="2" s="1"/>
  <c r="N23" i="2" s="1"/>
  <c r="N22" i="2" s="1"/>
  <c r="N21" i="2" s="1"/>
  <c r="O27" i="2"/>
  <c r="O26" i="2" s="1"/>
  <c r="O25" i="2" s="1"/>
  <c r="N36" i="2"/>
  <c r="O36" i="2"/>
  <c r="N38" i="2"/>
  <c r="O38" i="2"/>
  <c r="N47" i="2"/>
  <c r="O47" i="2"/>
  <c r="N49" i="2"/>
  <c r="O49" i="2"/>
  <c r="N51" i="2"/>
  <c r="O51" i="2"/>
  <c r="N55" i="2"/>
  <c r="N54" i="2" s="1"/>
  <c r="N53" i="2" s="1"/>
  <c r="O55" i="2"/>
  <c r="O54" i="2" s="1"/>
  <c r="O53" i="2" s="1"/>
  <c r="N64" i="2"/>
  <c r="N63" i="2" s="1"/>
  <c r="N62" i="2" s="1"/>
  <c r="N61" i="2" s="1"/>
  <c r="N60" i="2" s="1"/>
  <c r="N59" i="2" s="1"/>
  <c r="N58" i="2" s="1"/>
  <c r="N57" i="2" s="1"/>
  <c r="O64" i="2"/>
  <c r="O63" i="2" s="1"/>
  <c r="O62" i="2" s="1"/>
  <c r="O61" i="2" s="1"/>
  <c r="O60" i="2" s="1"/>
  <c r="N72" i="2"/>
  <c r="N71" i="2" s="1"/>
  <c r="N70" i="2" s="1"/>
  <c r="N69" i="2" s="1"/>
  <c r="N68" i="2" s="1"/>
  <c r="N67" i="2" s="1"/>
  <c r="N66" i="2" s="1"/>
  <c r="O72" i="2"/>
  <c r="O71" i="2" s="1"/>
  <c r="N73" i="2"/>
  <c r="O73" i="2"/>
  <c r="N82" i="2"/>
  <c r="O82" i="2"/>
  <c r="N84" i="2"/>
  <c r="O84" i="2"/>
  <c r="N86" i="2"/>
  <c r="O86" i="2"/>
  <c r="N88" i="2"/>
  <c r="O88" i="2"/>
  <c r="O92" i="2"/>
  <c r="O91" i="2" s="1"/>
  <c r="O90" i="2" s="1"/>
  <c r="N92" i="2"/>
  <c r="N91" i="2" s="1"/>
  <c r="N90" i="2" s="1"/>
  <c r="N105" i="2"/>
  <c r="N104" i="2" s="1"/>
  <c r="N103" i="2" s="1"/>
  <c r="N102" i="2" s="1"/>
  <c r="N101" i="2" s="1"/>
  <c r="N100" i="2" s="1"/>
  <c r="N99" i="2" s="1"/>
  <c r="N98" i="2" s="1"/>
  <c r="O105" i="2"/>
  <c r="O104" i="2" s="1"/>
  <c r="O103" i="2" s="1"/>
  <c r="O102" i="2" s="1"/>
  <c r="O101" i="2" s="1"/>
  <c r="O100" i="2" s="1"/>
  <c r="O99" i="2" s="1"/>
  <c r="O98" i="2" s="1"/>
  <c r="N114" i="2"/>
  <c r="O114" i="2"/>
  <c r="N117" i="2"/>
  <c r="O117" i="2"/>
  <c r="N119" i="2"/>
  <c r="O119" i="2"/>
  <c r="O121" i="2"/>
  <c r="N121" i="2"/>
  <c r="O129" i="2"/>
  <c r="N129" i="2"/>
  <c r="N131" i="2"/>
  <c r="O131" i="2"/>
  <c r="N133" i="2"/>
  <c r="O133" i="2"/>
  <c r="N135" i="2"/>
  <c r="N138" i="2"/>
  <c r="O138" i="2"/>
  <c r="N140" i="2"/>
  <c r="O140" i="2"/>
  <c r="N142" i="2"/>
  <c r="O142" i="2"/>
  <c r="N146" i="2"/>
  <c r="O146" i="2"/>
  <c r="N152" i="2"/>
  <c r="N151" i="2" s="1"/>
  <c r="N150" i="2" s="1"/>
  <c r="N149" i="2" s="1"/>
  <c r="N148" i="2" s="1"/>
  <c r="N154" i="2"/>
  <c r="N153" i="2" s="1"/>
  <c r="O154" i="2"/>
  <c r="O153" i="2" s="1"/>
  <c r="O152" i="2" s="1"/>
  <c r="O151" i="2" s="1"/>
  <c r="O150" i="2" s="1"/>
  <c r="O149" i="2" s="1"/>
  <c r="O148" i="2" s="1"/>
  <c r="N162" i="2"/>
  <c r="N161" i="2" s="1"/>
  <c r="N160" i="2" s="1"/>
  <c r="N159" i="2" s="1"/>
  <c r="N158" i="2" s="1"/>
  <c r="N157" i="2" s="1"/>
  <c r="N156" i="2" s="1"/>
  <c r="O162" i="2"/>
  <c r="N171" i="2"/>
  <c r="O171" i="2"/>
  <c r="O174" i="2"/>
  <c r="N174" i="2"/>
  <c r="O182" i="2"/>
  <c r="O181" i="2" s="1"/>
  <c r="O180" i="2" s="1"/>
  <c r="N188" i="2"/>
  <c r="N187" i="2" s="1"/>
  <c r="N186" i="2" s="1"/>
  <c r="O188" i="2"/>
  <c r="O187" i="2" s="1"/>
  <c r="O186" i="2" s="1"/>
  <c r="O198" i="2"/>
  <c r="O197" i="2" s="1"/>
  <c r="N198" i="2"/>
  <c r="N197" i="2" s="1"/>
  <c r="N196" i="2" s="1"/>
  <c r="N202" i="2"/>
  <c r="N201" i="2" s="1"/>
  <c r="N200" i="2" s="1"/>
  <c r="O202" i="2"/>
  <c r="O201" i="2" s="1"/>
  <c r="O200" i="2" s="1"/>
  <c r="O211" i="2"/>
  <c r="N211" i="2"/>
  <c r="N213" i="2"/>
  <c r="O213" i="2"/>
  <c r="N222" i="2"/>
  <c r="O222" i="2"/>
  <c r="N225" i="2"/>
  <c r="O225" i="2"/>
  <c r="N227" i="2"/>
  <c r="O227" i="2"/>
  <c r="O229" i="2"/>
  <c r="N229" i="2"/>
  <c r="O232" i="2"/>
  <c r="N232" i="2"/>
  <c r="O234" i="2"/>
  <c r="N234" i="2"/>
  <c r="N236" i="2"/>
  <c r="O236" i="2"/>
  <c r="N239" i="2"/>
  <c r="O239" i="2"/>
  <c r="N15" i="1"/>
  <c r="N14" i="1" s="1"/>
  <c r="N13" i="1" s="1"/>
  <c r="N12" i="1" s="1"/>
  <c r="N11" i="1" s="1"/>
  <c r="N10" i="1" s="1"/>
  <c r="N9" i="1" s="1"/>
  <c r="N8" i="1" s="1"/>
  <c r="N7" i="1" s="1"/>
  <c r="N26" i="1"/>
  <c r="N25" i="1" s="1"/>
  <c r="N24" i="1" s="1"/>
  <c r="N23" i="1" s="1"/>
  <c r="N22" i="1" s="1"/>
  <c r="N21" i="1" s="1"/>
  <c r="N20" i="1" s="1"/>
  <c r="N19" i="1" s="1"/>
  <c r="O26" i="1"/>
  <c r="O25" i="1" s="1"/>
  <c r="O24" i="1" s="1"/>
  <c r="O23" i="1" s="1"/>
  <c r="O22" i="1" s="1"/>
  <c r="O21" i="1" s="1"/>
  <c r="O20" i="1" s="1"/>
  <c r="O19" i="1" s="1"/>
  <c r="O42" i="1"/>
  <c r="O41" i="1" s="1"/>
  <c r="O40" i="1" s="1"/>
  <c r="N42" i="1"/>
  <c r="N41" i="1" s="1"/>
  <c r="N40" i="1" s="1"/>
  <c r="N48" i="1"/>
  <c r="N47" i="1" s="1"/>
  <c r="N46" i="1" s="1"/>
  <c r="O48" i="1"/>
  <c r="O47" i="1" s="1"/>
  <c r="O46" i="1" s="1"/>
  <c r="N56" i="1"/>
  <c r="N55" i="1" s="1"/>
  <c r="O56" i="1"/>
  <c r="O55" i="1" s="1"/>
  <c r="O59" i="1"/>
  <c r="O58" i="1" s="1"/>
  <c r="N70" i="1"/>
  <c r="N69" i="1" s="1"/>
  <c r="N68" i="1" s="1"/>
  <c r="N67" i="1" s="1"/>
  <c r="N66" i="1" s="1"/>
  <c r="N65" i="1" s="1"/>
  <c r="N64" i="1" s="1"/>
  <c r="N63" i="1" s="1"/>
  <c r="O70" i="1"/>
  <c r="N79" i="1"/>
  <c r="N78" i="1" s="1"/>
  <c r="N77" i="1" s="1"/>
  <c r="O79" i="1"/>
  <c r="O83" i="1"/>
  <c r="O82" i="1" s="1"/>
  <c r="O81" i="1" s="1"/>
  <c r="N83" i="1"/>
  <c r="N82" i="1" s="1"/>
  <c r="N81" i="1" s="1"/>
  <c r="N93" i="1"/>
  <c r="N92" i="1" s="1"/>
  <c r="N91" i="1" s="1"/>
  <c r="N90" i="1" s="1"/>
  <c r="N89" i="1" s="1"/>
  <c r="N88" i="1" s="1"/>
  <c r="N87" i="1" s="1"/>
  <c r="N86" i="1" s="1"/>
  <c r="N106" i="1"/>
  <c r="N105" i="1" s="1"/>
  <c r="N104" i="1" s="1"/>
  <c r="N103" i="1" s="1"/>
  <c r="N102" i="1" s="1"/>
  <c r="N101" i="1" s="1"/>
  <c r="N100" i="1" s="1"/>
  <c r="N99" i="1" s="1"/>
  <c r="O106" i="1"/>
  <c r="O105" i="1" s="1"/>
  <c r="O104" i="1" s="1"/>
  <c r="O103" i="1" s="1"/>
  <c r="O102" i="1" s="1"/>
  <c r="O101" i="1" s="1"/>
  <c r="O100" i="1" s="1"/>
  <c r="O99" i="1" s="1"/>
  <c r="O115" i="1"/>
  <c r="O114" i="1" s="1"/>
  <c r="O113" i="1" s="1"/>
  <c r="O112" i="1" s="1"/>
  <c r="O111" i="1" s="1"/>
  <c r="O110" i="1" s="1"/>
  <c r="O109" i="1" s="1"/>
  <c r="O108" i="1" s="1"/>
  <c r="N115" i="1"/>
  <c r="N114" i="1" s="1"/>
  <c r="N113" i="1" s="1"/>
  <c r="N112" i="1" s="1"/>
  <c r="N111" i="1" s="1"/>
  <c r="N110" i="1" s="1"/>
  <c r="N109" i="1" s="1"/>
  <c r="N108" i="1" s="1"/>
  <c r="N124" i="1"/>
  <c r="N123" i="1" s="1"/>
  <c r="N122" i="1" s="1"/>
  <c r="N121" i="1" s="1"/>
  <c r="N120" i="1" s="1"/>
  <c r="N119" i="1" s="1"/>
  <c r="O124" i="1"/>
  <c r="O123" i="1" s="1"/>
  <c r="O122" i="1" s="1"/>
  <c r="O121" i="1" s="1"/>
  <c r="O120" i="1" s="1"/>
  <c r="O119" i="1" s="1"/>
  <c r="N131" i="1"/>
  <c r="N130" i="1" s="1"/>
  <c r="N129" i="1" s="1"/>
  <c r="N128" i="1" s="1"/>
  <c r="N127" i="1" s="1"/>
  <c r="N126" i="1" s="1"/>
  <c r="O131" i="1"/>
  <c r="O130" i="1" s="1"/>
  <c r="O129" i="1" s="1"/>
  <c r="O128" i="1" s="1"/>
  <c r="O127" i="1" s="1"/>
  <c r="O126" i="1" s="1"/>
  <c r="N140" i="1"/>
  <c r="N139" i="1" s="1"/>
  <c r="O140" i="1"/>
  <c r="O139" i="1" s="1"/>
  <c r="O144" i="1"/>
  <c r="O143" i="1" s="1"/>
  <c r="N144" i="1"/>
  <c r="N143" i="1" s="1"/>
  <c r="N153" i="1"/>
  <c r="N152" i="1" s="1"/>
  <c r="N151" i="1" s="1"/>
  <c r="N150" i="1" s="1"/>
  <c r="N149" i="1" s="1"/>
  <c r="N148" i="1" s="1"/>
  <c r="N147" i="1" s="1"/>
  <c r="N146" i="1" s="1"/>
  <c r="O153" i="1"/>
  <c r="O152" i="1" s="1"/>
  <c r="O151" i="1" s="1"/>
  <c r="O150" i="1" s="1"/>
  <c r="O149" i="1" s="1"/>
  <c r="O148" i="1" s="1"/>
  <c r="O147" i="1" s="1"/>
  <c r="O146" i="1" s="1"/>
  <c r="N163" i="1"/>
  <c r="N162" i="1" s="1"/>
  <c r="N161" i="1" s="1"/>
  <c r="N160" i="1" s="1"/>
  <c r="N159" i="1" s="1"/>
  <c r="N158" i="1" s="1"/>
  <c r="N157" i="1" s="1"/>
  <c r="N156" i="1" s="1"/>
  <c r="N155" i="1" s="1"/>
  <c r="O163" i="1"/>
  <c r="N6" i="5" l="1"/>
  <c r="O196" i="2"/>
  <c r="O195" i="2" s="1"/>
  <c r="O179" i="2"/>
  <c r="O178" i="2" s="1"/>
  <c r="O177" i="2" s="1"/>
  <c r="O176" i="2" s="1"/>
  <c r="N35" i="2"/>
  <c r="N34" i="2" s="1"/>
  <c r="N33" i="2" s="1"/>
  <c r="N32" i="2" s="1"/>
  <c r="N31" i="2" s="1"/>
  <c r="N30" i="2" s="1"/>
  <c r="N29" i="2" s="1"/>
  <c r="O59" i="5"/>
  <c r="O14" i="2"/>
  <c r="O13" i="2" s="1"/>
  <c r="O12" i="2" s="1"/>
  <c r="O11" i="2" s="1"/>
  <c r="O10" i="2" s="1"/>
  <c r="O9" i="2" s="1"/>
  <c r="O24" i="2"/>
  <c r="O35" i="2"/>
  <c r="O46" i="2"/>
  <c r="O59" i="2"/>
  <c r="O70" i="2"/>
  <c r="O113" i="2"/>
  <c r="N113" i="2"/>
  <c r="N112" i="2" s="1"/>
  <c r="N111" i="2" s="1"/>
  <c r="N110" i="2" s="1"/>
  <c r="N109" i="2" s="1"/>
  <c r="N108" i="2" s="1"/>
  <c r="O161" i="2"/>
  <c r="O170" i="2"/>
  <c r="O169" i="2" s="1"/>
  <c r="O168" i="2" s="1"/>
  <c r="O167" i="2" s="1"/>
  <c r="O166" i="2" s="1"/>
  <c r="O165" i="2" s="1"/>
  <c r="N195" i="2"/>
  <c r="N194" i="2" s="1"/>
  <c r="N193" i="2" s="1"/>
  <c r="N192" i="2" s="1"/>
  <c r="N191" i="2" s="1"/>
  <c r="N210" i="2"/>
  <c r="N209" i="2" s="1"/>
  <c r="N208" i="2" s="1"/>
  <c r="N207" i="2" s="1"/>
  <c r="N206" i="2" s="1"/>
  <c r="N205" i="2" s="1"/>
  <c r="N204" i="2" s="1"/>
  <c r="O210" i="2"/>
  <c r="O39" i="1"/>
  <c r="O69" i="1"/>
  <c r="O78" i="1"/>
  <c r="N76" i="1"/>
  <c r="N75" i="1" s="1"/>
  <c r="N74" i="1" s="1"/>
  <c r="N73" i="1" s="1"/>
  <c r="N72" i="1" s="1"/>
  <c r="N118" i="1"/>
  <c r="O138" i="1"/>
  <c r="N138" i="1"/>
  <c r="N137" i="1" s="1"/>
  <c r="N136" i="1" s="1"/>
  <c r="N135" i="1" s="1"/>
  <c r="N134" i="1" s="1"/>
  <c r="N133" i="1" s="1"/>
  <c r="O162" i="1"/>
  <c r="O164" i="2"/>
  <c r="N128" i="2"/>
  <c r="N127" i="2" s="1"/>
  <c r="N126" i="2" s="1"/>
  <c r="N125" i="2" s="1"/>
  <c r="N124" i="2" s="1"/>
  <c r="N123" i="2" s="1"/>
  <c r="N107" i="2" s="1"/>
  <c r="O221" i="2"/>
  <c r="N221" i="2"/>
  <c r="N220" i="2" s="1"/>
  <c r="N219" i="2" s="1"/>
  <c r="N218" i="2" s="1"/>
  <c r="N217" i="2" s="1"/>
  <c r="N216" i="2" s="1"/>
  <c r="N215" i="2" s="1"/>
  <c r="N170" i="2"/>
  <c r="N169" i="2" s="1"/>
  <c r="N168" i="2" s="1"/>
  <c r="N167" i="2" s="1"/>
  <c r="N166" i="2" s="1"/>
  <c r="N165" i="2" s="1"/>
  <c r="O81" i="2"/>
  <c r="N182" i="2"/>
  <c r="N181" i="2" s="1"/>
  <c r="N180" i="2" s="1"/>
  <c r="N179" i="2" s="1"/>
  <c r="N178" i="2" s="1"/>
  <c r="N177" i="2" s="1"/>
  <c r="N176" i="2" s="1"/>
  <c r="O135" i="2"/>
  <c r="N81" i="2"/>
  <c r="N46" i="2"/>
  <c r="N45" i="2" s="1"/>
  <c r="N44" i="2" s="1"/>
  <c r="N43" i="2" s="1"/>
  <c r="N42" i="2" s="1"/>
  <c r="N41" i="2" s="1"/>
  <c r="N40" i="2" s="1"/>
  <c r="N14" i="2"/>
  <c r="N13" i="2" s="1"/>
  <c r="N12" i="2" s="1"/>
  <c r="N11" i="2" s="1"/>
  <c r="N10" i="2" s="1"/>
  <c r="N9" i="2" s="1"/>
  <c r="N8" i="2" s="1"/>
  <c r="N7" i="2" s="1"/>
  <c r="O118" i="1"/>
  <c r="N85" i="1"/>
  <c r="O54" i="1"/>
  <c r="O93" i="1"/>
  <c r="N39" i="1"/>
  <c r="N38" i="1" s="1"/>
  <c r="N37" i="1" s="1"/>
  <c r="N36" i="1" s="1"/>
  <c r="N59" i="1"/>
  <c r="N58" i="1" s="1"/>
  <c r="N54" i="1" s="1"/>
  <c r="N53" i="1" s="1"/>
  <c r="N52" i="1" s="1"/>
  <c r="N51" i="1" s="1"/>
  <c r="N50" i="1" s="1"/>
  <c r="O15" i="1"/>
  <c r="M185" i="2"/>
  <c r="P185" i="2" s="1"/>
  <c r="M183" i="2"/>
  <c r="P183" i="2" s="1"/>
  <c r="O58" i="5" l="1"/>
  <c r="O23" i="2"/>
  <c r="O34" i="2"/>
  <c r="O45" i="2"/>
  <c r="O58" i="2"/>
  <c r="O69" i="2"/>
  <c r="O112" i="2"/>
  <c r="O128" i="2"/>
  <c r="O127" i="2" s="1"/>
  <c r="O160" i="2"/>
  <c r="O194" i="2"/>
  <c r="O209" i="2"/>
  <c r="O220" i="2"/>
  <c r="O14" i="1"/>
  <c r="O38" i="1"/>
  <c r="O53" i="1"/>
  <c r="O68" i="1"/>
  <c r="O77" i="1"/>
  <c r="O92" i="1"/>
  <c r="N117" i="1"/>
  <c r="O137" i="1"/>
  <c r="O161" i="1"/>
  <c r="N164" i="2"/>
  <c r="N97" i="2" s="1"/>
  <c r="N80" i="2"/>
  <c r="N79" i="2"/>
  <c r="N78" i="2" s="1"/>
  <c r="N77" i="2" s="1"/>
  <c r="N76" i="2" s="1"/>
  <c r="N75" i="2" s="1"/>
  <c r="O79" i="2"/>
  <c r="O80" i="2"/>
  <c r="N35" i="1"/>
  <c r="N6" i="1" s="1"/>
  <c r="M56" i="2"/>
  <c r="P56" i="2" s="1"/>
  <c r="M52" i="2"/>
  <c r="P52" i="2" s="1"/>
  <c r="M50" i="2"/>
  <c r="P50" i="2" s="1"/>
  <c r="M48" i="2"/>
  <c r="P48" i="2" s="1"/>
  <c r="M16" i="1"/>
  <c r="P16" i="1" s="1"/>
  <c r="O57" i="5" l="1"/>
  <c r="O22" i="2"/>
  <c r="O33" i="2"/>
  <c r="O44" i="2"/>
  <c r="O57" i="2"/>
  <c r="O68" i="2"/>
  <c r="O78" i="2"/>
  <c r="N6" i="2"/>
  <c r="O111" i="2"/>
  <c r="O126" i="2"/>
  <c r="O159" i="2"/>
  <c r="O193" i="2"/>
  <c r="O208" i="2"/>
  <c r="O219" i="2"/>
  <c r="O13" i="1"/>
  <c r="O37" i="1"/>
  <c r="O52" i="1"/>
  <c r="O67" i="1"/>
  <c r="O76" i="1"/>
  <c r="O91" i="1"/>
  <c r="O136" i="1"/>
  <c r="O160" i="1"/>
  <c r="O56" i="5" l="1"/>
  <c r="O21" i="2"/>
  <c r="O32" i="2"/>
  <c r="O43" i="2"/>
  <c r="O67" i="2"/>
  <c r="O77" i="2"/>
  <c r="O110" i="2"/>
  <c r="O125" i="2"/>
  <c r="O158" i="2"/>
  <c r="O192" i="2"/>
  <c r="O207" i="2"/>
  <c r="O218" i="2"/>
  <c r="O12" i="1"/>
  <c r="O36" i="1"/>
  <c r="O51" i="1"/>
  <c r="O66" i="1"/>
  <c r="O75" i="1"/>
  <c r="O90" i="1"/>
  <c r="O135" i="1"/>
  <c r="O159" i="1"/>
  <c r="M154" i="1"/>
  <c r="M226" i="2"/>
  <c r="P226" i="2" s="1"/>
  <c r="M231" i="2"/>
  <c r="P231" i="2" s="1"/>
  <c r="M235" i="2"/>
  <c r="P235" i="2" s="1"/>
  <c r="M238" i="2"/>
  <c r="P238" i="2" s="1"/>
  <c r="M233" i="2"/>
  <c r="P233" i="2" s="1"/>
  <c r="M240" i="2"/>
  <c r="P240" i="2" s="1"/>
  <c r="M228" i="2"/>
  <c r="P228" i="2" s="1"/>
  <c r="M125" i="1"/>
  <c r="P125" i="1" s="1"/>
  <c r="M145" i="1"/>
  <c r="P145" i="1" s="1"/>
  <c r="M116" i="1"/>
  <c r="P116" i="1" s="1"/>
  <c r="M162" i="2"/>
  <c r="M161" i="2" l="1"/>
  <c r="P162" i="2"/>
  <c r="M153" i="1"/>
  <c r="P153" i="1" s="1"/>
  <c r="P154" i="1"/>
  <c r="O55" i="5"/>
  <c r="O8" i="2"/>
  <c r="O31" i="2"/>
  <c r="O42" i="2"/>
  <c r="O66" i="2"/>
  <c r="O76" i="2"/>
  <c r="O109" i="2"/>
  <c r="O124" i="2"/>
  <c r="O157" i="2"/>
  <c r="O191" i="2"/>
  <c r="O206" i="2"/>
  <c r="O217" i="2"/>
  <c r="O11" i="1"/>
  <c r="O50" i="1"/>
  <c r="O65" i="1"/>
  <c r="O74" i="1"/>
  <c r="O89" i="1"/>
  <c r="O134" i="1"/>
  <c r="O158" i="1"/>
  <c r="M155" i="2"/>
  <c r="M154" i="2" l="1"/>
  <c r="P155" i="2"/>
  <c r="M160" i="2"/>
  <c r="P161" i="2"/>
  <c r="O54" i="5"/>
  <c r="O7" i="2"/>
  <c r="O30" i="2"/>
  <c r="O41" i="2"/>
  <c r="O75" i="2"/>
  <c r="O108" i="2"/>
  <c r="O123" i="2"/>
  <c r="O156" i="2"/>
  <c r="O205" i="2"/>
  <c r="O216" i="2"/>
  <c r="O10" i="1"/>
  <c r="O35" i="1"/>
  <c r="O64" i="1"/>
  <c r="O73" i="1"/>
  <c r="O88" i="1"/>
  <c r="O133" i="1"/>
  <c r="O157" i="1"/>
  <c r="M131" i="2"/>
  <c r="P131" i="2" s="1"/>
  <c r="M130" i="2"/>
  <c r="P130" i="2" s="1"/>
  <c r="M147" i="2"/>
  <c r="P147" i="2" s="1"/>
  <c r="M145" i="2"/>
  <c r="P145" i="2" s="1"/>
  <c r="M143" i="2"/>
  <c r="P143" i="2" s="1"/>
  <c r="M141" i="2"/>
  <c r="M137" i="2"/>
  <c r="P137" i="2" s="1"/>
  <c r="M136" i="2"/>
  <c r="P136" i="2" s="1"/>
  <c r="M134" i="2"/>
  <c r="P134" i="2" s="1"/>
  <c r="M122" i="2"/>
  <c r="P122" i="2" s="1"/>
  <c r="M118" i="2"/>
  <c r="P118" i="2" s="1"/>
  <c r="M116" i="2"/>
  <c r="P116" i="2" s="1"/>
  <c r="M115" i="2"/>
  <c r="P115" i="2" s="1"/>
  <c r="M97" i="1"/>
  <c r="P97" i="1" s="1"/>
  <c r="M96" i="1"/>
  <c r="P96" i="1" s="1"/>
  <c r="M95" i="1"/>
  <c r="P95" i="1" s="1"/>
  <c r="M94" i="1"/>
  <c r="P94" i="1" s="1"/>
  <c r="M140" i="2" l="1"/>
  <c r="P140" i="2" s="1"/>
  <c r="P141" i="2"/>
  <c r="M159" i="2"/>
  <c r="P160" i="2"/>
  <c r="M153" i="2"/>
  <c r="P153" i="2" s="1"/>
  <c r="P154" i="2"/>
  <c r="O53" i="5"/>
  <c r="O6" i="5" s="1"/>
  <c r="O29" i="2"/>
  <c r="O40" i="2"/>
  <c r="O107" i="2"/>
  <c r="O204" i="2"/>
  <c r="O215" i="2"/>
  <c r="O9" i="1"/>
  <c r="O63" i="1"/>
  <c r="O72" i="1"/>
  <c r="O87" i="1"/>
  <c r="O117" i="1"/>
  <c r="O156" i="1"/>
  <c r="M106" i="2"/>
  <c r="P106" i="2" s="1"/>
  <c r="M84" i="1"/>
  <c r="P84" i="1" s="1"/>
  <c r="M57" i="1"/>
  <c r="P57" i="1" s="1"/>
  <c r="M62" i="1"/>
  <c r="P62" i="1" s="1"/>
  <c r="M61" i="1"/>
  <c r="P61" i="1" s="1"/>
  <c r="M60" i="1"/>
  <c r="P60" i="1" s="1"/>
  <c r="M49" i="1"/>
  <c r="P49" i="1" s="1"/>
  <c r="M44" i="1"/>
  <c r="P44" i="1" s="1"/>
  <c r="M43" i="1"/>
  <c r="P43" i="1" s="1"/>
  <c r="M18" i="2"/>
  <c r="P18" i="2" s="1"/>
  <c r="M20" i="2"/>
  <c r="P20" i="2" s="1"/>
  <c r="M16" i="2"/>
  <c r="P16" i="2" s="1"/>
  <c r="M184" i="2"/>
  <c r="P184" i="2" s="1"/>
  <c r="M175" i="2"/>
  <c r="P175" i="2" s="1"/>
  <c r="M28" i="2"/>
  <c r="P28" i="2" s="1"/>
  <c r="M18" i="1"/>
  <c r="P18" i="1" s="1"/>
  <c r="M17" i="1"/>
  <c r="P17" i="1" s="1"/>
  <c r="M158" i="2" l="1"/>
  <c r="P159" i="2"/>
  <c r="O97" i="2"/>
  <c r="O8" i="1"/>
  <c r="O86" i="1"/>
  <c r="O155" i="1"/>
  <c r="M182" i="2"/>
  <c r="P182" i="2" s="1"/>
  <c r="M163" i="1"/>
  <c r="P163" i="1" s="1"/>
  <c r="M157" i="2" l="1"/>
  <c r="P158" i="2"/>
  <c r="O6" i="2"/>
  <c r="O7" i="1"/>
  <c r="O85" i="1"/>
  <c r="M212" i="2"/>
  <c r="P212" i="2" s="1"/>
  <c r="M156" i="2" l="1"/>
  <c r="P156" i="2" s="1"/>
  <c r="P157" i="2"/>
  <c r="O6" i="1"/>
  <c r="M213" i="2"/>
  <c r="P213" i="2" s="1"/>
  <c r="M94" i="2"/>
  <c r="P94" i="2" s="1"/>
  <c r="M93" i="2"/>
  <c r="P93" i="2" s="1"/>
  <c r="M199" i="2" l="1"/>
  <c r="P199" i="2" s="1"/>
  <c r="M202" i="2"/>
  <c r="M201" i="2" l="1"/>
  <c r="P202" i="2"/>
  <c r="M188" i="2"/>
  <c r="M187" i="2" l="1"/>
  <c r="P188" i="2"/>
  <c r="M200" i="2"/>
  <c r="P200" i="2" s="1"/>
  <c r="P201" i="2"/>
  <c r="M42" i="1"/>
  <c r="P42" i="1" s="1"/>
  <c r="M186" i="2" l="1"/>
  <c r="P186" i="2" s="1"/>
  <c r="P187" i="2"/>
  <c r="M107" i="1"/>
  <c r="M106" i="1" l="1"/>
  <c r="P106" i="1" s="1"/>
  <c r="P107" i="1"/>
  <c r="M52" i="5"/>
  <c r="P52" i="5" s="1"/>
  <c r="M49" i="5"/>
  <c r="P49" i="5" s="1"/>
  <c r="M48" i="5"/>
  <c r="P48" i="5" s="1"/>
  <c r="M47" i="5"/>
  <c r="P47" i="5" s="1"/>
  <c r="M46" i="5"/>
  <c r="P46" i="5" s="1"/>
  <c r="M45" i="5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P36" i="5" s="1"/>
  <c r="M35" i="5"/>
  <c r="P35" i="5" s="1"/>
  <c r="M34" i="5"/>
  <c r="M32" i="5"/>
  <c r="P32" i="5" s="1"/>
  <c r="M31" i="5"/>
  <c r="P31" i="5" s="1"/>
  <c r="M30" i="5"/>
  <c r="P30" i="5" s="1"/>
  <c r="M29" i="5"/>
  <c r="P29" i="5" s="1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M20" i="5"/>
  <c r="P20" i="5" s="1"/>
  <c r="M19" i="5"/>
  <c r="P19" i="5" s="1"/>
  <c r="M18" i="5"/>
  <c r="P18" i="5" s="1"/>
  <c r="M17" i="5"/>
  <c r="P17" i="5" s="1"/>
  <c r="M16" i="5"/>
  <c r="P45" i="5" l="1"/>
  <c r="M44" i="5"/>
  <c r="P44" i="5" s="1"/>
  <c r="P22" i="5"/>
  <c r="M21" i="5"/>
  <c r="M15" i="5"/>
  <c r="P16" i="5"/>
  <c r="M33" i="5"/>
  <c r="P33" i="5" s="1"/>
  <c r="P34" i="5"/>
  <c r="M51" i="5"/>
  <c r="M50" i="5" s="1"/>
  <c r="M51" i="2"/>
  <c r="P51" i="2" s="1"/>
  <c r="M49" i="2"/>
  <c r="P49" i="2" s="1"/>
  <c r="M47" i="2"/>
  <c r="P47" i="2" s="1"/>
  <c r="P15" i="5" l="1"/>
  <c r="M14" i="5"/>
  <c r="P21" i="5"/>
  <c r="P50" i="5"/>
  <c r="P51" i="5"/>
  <c r="M46" i="2"/>
  <c r="M45" i="2" l="1"/>
  <c r="P45" i="2" s="1"/>
  <c r="P46" i="2"/>
  <c r="M13" i="5"/>
  <c r="P14" i="5"/>
  <c r="M26" i="1"/>
  <c r="P26" i="1" s="1"/>
  <c r="M12" i="5" l="1"/>
  <c r="M11" i="5" s="1"/>
  <c r="P13" i="5"/>
  <c r="M59" i="5"/>
  <c r="M58" i="5" l="1"/>
  <c r="P59" i="5"/>
  <c r="P12" i="5"/>
  <c r="M138" i="2"/>
  <c r="P138" i="2" s="1"/>
  <c r="M10" i="5" l="1"/>
  <c r="P11" i="5"/>
  <c r="M57" i="5"/>
  <c r="P58" i="5"/>
  <c r="M119" i="2"/>
  <c r="P119" i="2" s="1"/>
  <c r="M141" i="1"/>
  <c r="M142" i="1"/>
  <c r="P142" i="1" s="1"/>
  <c r="M140" i="1" l="1"/>
  <c r="P141" i="1"/>
  <c r="M56" i="5"/>
  <c r="P57" i="5"/>
  <c r="M9" i="5"/>
  <c r="P10" i="5"/>
  <c r="M239" i="2"/>
  <c r="P239" i="2" s="1"/>
  <c r="M237" i="2"/>
  <c r="P237" i="2" s="1"/>
  <c r="M234" i="2"/>
  <c r="P234" i="2" s="1"/>
  <c r="M232" i="2"/>
  <c r="P232" i="2" s="1"/>
  <c r="M230" i="2"/>
  <c r="P230" i="2" s="1"/>
  <c r="M227" i="2"/>
  <c r="P227" i="2" s="1"/>
  <c r="M225" i="2"/>
  <c r="P225" i="2" s="1"/>
  <c r="M224" i="2"/>
  <c r="P224" i="2" s="1"/>
  <c r="M223" i="2"/>
  <c r="P223" i="2" s="1"/>
  <c r="M211" i="2"/>
  <c r="P211" i="2" s="1"/>
  <c r="M198" i="2"/>
  <c r="M181" i="2"/>
  <c r="M174" i="2"/>
  <c r="P174" i="2" s="1"/>
  <c r="M171" i="2"/>
  <c r="P171" i="2" s="1"/>
  <c r="M146" i="2"/>
  <c r="P146" i="2" s="1"/>
  <c r="M144" i="2"/>
  <c r="P144" i="2" s="1"/>
  <c r="M142" i="2"/>
  <c r="P142" i="2" s="1"/>
  <c r="M135" i="2"/>
  <c r="P135" i="2" s="1"/>
  <c r="M133" i="2"/>
  <c r="P133" i="2" s="1"/>
  <c r="M129" i="2"/>
  <c r="P129" i="2" s="1"/>
  <c r="M121" i="2"/>
  <c r="P121" i="2" s="1"/>
  <c r="M117" i="2"/>
  <c r="P117" i="2" s="1"/>
  <c r="M114" i="2"/>
  <c r="P114" i="2" s="1"/>
  <c r="M105" i="2"/>
  <c r="M92" i="2"/>
  <c r="M88" i="2"/>
  <c r="P88" i="2" s="1"/>
  <c r="M86" i="2"/>
  <c r="P86" i="2" s="1"/>
  <c r="M84" i="2"/>
  <c r="P84" i="2" s="1"/>
  <c r="M83" i="2"/>
  <c r="M73" i="2"/>
  <c r="P73" i="2" s="1"/>
  <c r="M72" i="2"/>
  <c r="M64" i="2"/>
  <c r="M55" i="2"/>
  <c r="M38" i="2"/>
  <c r="P38" i="2" s="1"/>
  <c r="M36" i="2"/>
  <c r="P36" i="2" s="1"/>
  <c r="M27" i="2"/>
  <c r="M19" i="2"/>
  <c r="P19" i="2" s="1"/>
  <c r="M17" i="2"/>
  <c r="P17" i="2" s="1"/>
  <c r="M15" i="2"/>
  <c r="P15" i="2" s="1"/>
  <c r="M162" i="1"/>
  <c r="M152" i="1"/>
  <c r="M144" i="1"/>
  <c r="M131" i="1"/>
  <c r="M124" i="1"/>
  <c r="M115" i="1"/>
  <c r="M105" i="1"/>
  <c r="M93" i="1"/>
  <c r="M83" i="1"/>
  <c r="M79" i="1"/>
  <c r="M70" i="1"/>
  <c r="M59" i="1"/>
  <c r="M56" i="1"/>
  <c r="M48" i="1"/>
  <c r="M25" i="1"/>
  <c r="M15" i="1"/>
  <c r="M26" i="2" l="1"/>
  <c r="P27" i="2"/>
  <c r="M63" i="2"/>
  <c r="P63" i="2" s="1"/>
  <c r="P64" i="2"/>
  <c r="M104" i="2"/>
  <c r="P105" i="2"/>
  <c r="M180" i="2"/>
  <c r="P180" i="2" s="1"/>
  <c r="P181" i="2"/>
  <c r="M54" i="2"/>
  <c r="P54" i="2" s="1"/>
  <c r="P55" i="2"/>
  <c r="M71" i="2"/>
  <c r="P72" i="2"/>
  <c r="M82" i="2"/>
  <c r="P82" i="2" s="1"/>
  <c r="P83" i="2"/>
  <c r="M91" i="2"/>
  <c r="P92" i="2"/>
  <c r="M197" i="2"/>
  <c r="P198" i="2"/>
  <c r="M24" i="1"/>
  <c r="P25" i="1"/>
  <c r="M55" i="1"/>
  <c r="P55" i="1" s="1"/>
  <c r="P56" i="1"/>
  <c r="M69" i="1"/>
  <c r="P70" i="1"/>
  <c r="M82" i="1"/>
  <c r="P83" i="1"/>
  <c r="M104" i="1"/>
  <c r="P105" i="1"/>
  <c r="M123" i="1"/>
  <c r="P124" i="1"/>
  <c r="M143" i="1"/>
  <c r="P144" i="1"/>
  <c r="M161" i="1"/>
  <c r="P162" i="1"/>
  <c r="M14" i="1"/>
  <c r="P15" i="1"/>
  <c r="M47" i="1"/>
  <c r="P48" i="1"/>
  <c r="M58" i="1"/>
  <c r="P58" i="1" s="1"/>
  <c r="P59" i="1"/>
  <c r="M78" i="1"/>
  <c r="P79" i="1"/>
  <c r="M92" i="1"/>
  <c r="P93" i="1"/>
  <c r="M114" i="1"/>
  <c r="P115" i="1"/>
  <c r="M130" i="1"/>
  <c r="P131" i="1"/>
  <c r="M151" i="1"/>
  <c r="P152" i="1"/>
  <c r="M139" i="1"/>
  <c r="P139" i="1" s="1"/>
  <c r="P140" i="1"/>
  <c r="M8" i="5"/>
  <c r="P9" i="5"/>
  <c r="M55" i="5"/>
  <c r="P56" i="5"/>
  <c r="M170" i="2"/>
  <c r="M128" i="2"/>
  <c r="M113" i="2"/>
  <c r="P113" i="2" s="1"/>
  <c r="M81" i="2"/>
  <c r="M152" i="2"/>
  <c r="M210" i="2"/>
  <c r="M222" i="2"/>
  <c r="P222" i="2" s="1"/>
  <c r="M179" i="2"/>
  <c r="M53" i="2"/>
  <c r="P53" i="2" s="1"/>
  <c r="M229" i="2"/>
  <c r="P229" i="2" s="1"/>
  <c r="M236" i="2"/>
  <c r="P236" i="2" s="1"/>
  <c r="M14" i="2"/>
  <c r="M35" i="2"/>
  <c r="M41" i="1"/>
  <c r="M112" i="2"/>
  <c r="M62" i="2"/>
  <c r="M54" i="1"/>
  <c r="M111" i="2" l="1"/>
  <c r="P112" i="2"/>
  <c r="M34" i="2"/>
  <c r="P35" i="2"/>
  <c r="M178" i="2"/>
  <c r="P179" i="2"/>
  <c r="M209" i="2"/>
  <c r="P210" i="2"/>
  <c r="M80" i="2"/>
  <c r="P80" i="2" s="1"/>
  <c r="P81" i="2"/>
  <c r="M127" i="2"/>
  <c r="P128" i="2"/>
  <c r="M61" i="2"/>
  <c r="P62" i="2"/>
  <c r="M13" i="2"/>
  <c r="P14" i="2"/>
  <c r="M151" i="2"/>
  <c r="P152" i="2"/>
  <c r="M169" i="2"/>
  <c r="P170" i="2"/>
  <c r="M196" i="2"/>
  <c r="P197" i="2"/>
  <c r="M90" i="2"/>
  <c r="P90" i="2" s="1"/>
  <c r="P91" i="2"/>
  <c r="M70" i="2"/>
  <c r="P71" i="2"/>
  <c r="M103" i="2"/>
  <c r="P104" i="2"/>
  <c r="M25" i="2"/>
  <c r="P26" i="2"/>
  <c r="M53" i="1"/>
  <c r="P54" i="1"/>
  <c r="M40" i="1"/>
  <c r="P41" i="1"/>
  <c r="M150" i="1"/>
  <c r="P151" i="1"/>
  <c r="M129" i="1"/>
  <c r="P130" i="1"/>
  <c r="M113" i="1"/>
  <c r="P114" i="1"/>
  <c r="M91" i="1"/>
  <c r="P92" i="1"/>
  <c r="M77" i="1"/>
  <c r="P78" i="1"/>
  <c r="M46" i="1"/>
  <c r="P46" i="1" s="1"/>
  <c r="P47" i="1"/>
  <c r="M13" i="1"/>
  <c r="P14" i="1"/>
  <c r="M160" i="1"/>
  <c r="P161" i="1"/>
  <c r="M138" i="1"/>
  <c r="P143" i="1"/>
  <c r="M122" i="1"/>
  <c r="P123" i="1"/>
  <c r="M103" i="1"/>
  <c r="P104" i="1"/>
  <c r="M81" i="1"/>
  <c r="P81" i="1" s="1"/>
  <c r="P82" i="1"/>
  <c r="M68" i="1"/>
  <c r="P69" i="1"/>
  <c r="M23" i="1"/>
  <c r="P24" i="1"/>
  <c r="M54" i="5"/>
  <c r="P55" i="5"/>
  <c r="M7" i="5"/>
  <c r="P7" i="5" s="1"/>
  <c r="P8" i="5"/>
  <c r="M79" i="2"/>
  <c r="M221" i="2"/>
  <c r="P221" i="2" s="1"/>
  <c r="M44" i="2"/>
  <c r="M220" i="2" l="1"/>
  <c r="M43" i="2"/>
  <c r="P44" i="2"/>
  <c r="M78" i="2"/>
  <c r="P79" i="2"/>
  <c r="M219" i="2"/>
  <c r="P220" i="2"/>
  <c r="M24" i="2"/>
  <c r="P25" i="2"/>
  <c r="M102" i="2"/>
  <c r="P103" i="2"/>
  <c r="M69" i="2"/>
  <c r="P70" i="2"/>
  <c r="P196" i="2"/>
  <c r="M195" i="2"/>
  <c r="M168" i="2"/>
  <c r="P169" i="2"/>
  <c r="M150" i="2"/>
  <c r="P151" i="2"/>
  <c r="M12" i="2"/>
  <c r="P13" i="2"/>
  <c r="M60" i="2"/>
  <c r="P61" i="2"/>
  <c r="M126" i="2"/>
  <c r="P127" i="2"/>
  <c r="M208" i="2"/>
  <c r="P209" i="2"/>
  <c r="M177" i="2"/>
  <c r="P178" i="2"/>
  <c r="M33" i="2"/>
  <c r="P34" i="2"/>
  <c r="M110" i="2"/>
  <c r="P111" i="2"/>
  <c r="M22" i="1"/>
  <c r="P23" i="1"/>
  <c r="M67" i="1"/>
  <c r="P68" i="1"/>
  <c r="M102" i="1"/>
  <c r="P103" i="1"/>
  <c r="M121" i="1"/>
  <c r="P122" i="1"/>
  <c r="M137" i="1"/>
  <c r="P138" i="1"/>
  <c r="M159" i="1"/>
  <c r="P160" i="1"/>
  <c r="M12" i="1"/>
  <c r="P13" i="1"/>
  <c r="P77" i="1"/>
  <c r="M76" i="1"/>
  <c r="M90" i="1"/>
  <c r="P91" i="1"/>
  <c r="M112" i="1"/>
  <c r="P113" i="1"/>
  <c r="M128" i="1"/>
  <c r="P129" i="1"/>
  <c r="M149" i="1"/>
  <c r="P150" i="1"/>
  <c r="M39" i="1"/>
  <c r="P40" i="1"/>
  <c r="M52" i="1"/>
  <c r="P53" i="1"/>
  <c r="M53" i="5"/>
  <c r="P54" i="5"/>
  <c r="M194" i="2" l="1"/>
  <c r="P195" i="2"/>
  <c r="M109" i="2"/>
  <c r="P110" i="2"/>
  <c r="M32" i="2"/>
  <c r="P33" i="2"/>
  <c r="M176" i="2"/>
  <c r="P176" i="2" s="1"/>
  <c r="P177" i="2"/>
  <c r="M207" i="2"/>
  <c r="P208" i="2"/>
  <c r="M125" i="2"/>
  <c r="P126" i="2"/>
  <c r="M59" i="2"/>
  <c r="P60" i="2"/>
  <c r="M11" i="2"/>
  <c r="P12" i="2"/>
  <c r="M149" i="2"/>
  <c r="P150" i="2"/>
  <c r="M167" i="2"/>
  <c r="P168" i="2"/>
  <c r="M68" i="2"/>
  <c r="P69" i="2"/>
  <c r="M101" i="2"/>
  <c r="P102" i="2"/>
  <c r="M23" i="2"/>
  <c r="P24" i="2"/>
  <c r="M218" i="2"/>
  <c r="P219" i="2"/>
  <c r="M77" i="2"/>
  <c r="P78" i="2"/>
  <c r="M42" i="2"/>
  <c r="P43" i="2"/>
  <c r="M75" i="1"/>
  <c r="P76" i="1"/>
  <c r="M51" i="1"/>
  <c r="P52" i="1"/>
  <c r="M38" i="1"/>
  <c r="P39" i="1"/>
  <c r="M148" i="1"/>
  <c r="P149" i="1"/>
  <c r="M127" i="1"/>
  <c r="P128" i="1"/>
  <c r="M111" i="1"/>
  <c r="P112" i="1"/>
  <c r="M89" i="1"/>
  <c r="P90" i="1"/>
  <c r="M11" i="1"/>
  <c r="P12" i="1"/>
  <c r="M158" i="1"/>
  <c r="P159" i="1"/>
  <c r="M136" i="1"/>
  <c r="P137" i="1"/>
  <c r="M120" i="1"/>
  <c r="P121" i="1"/>
  <c r="M101" i="1"/>
  <c r="P102" i="1"/>
  <c r="M66" i="1"/>
  <c r="P67" i="1"/>
  <c r="M21" i="1"/>
  <c r="P22" i="1"/>
  <c r="M6" i="5"/>
  <c r="P6" i="5" s="1"/>
  <c r="P53" i="5"/>
  <c r="M41" i="2" l="1"/>
  <c r="P42" i="2"/>
  <c r="M76" i="2"/>
  <c r="P77" i="2"/>
  <c r="M217" i="2"/>
  <c r="P218" i="2"/>
  <c r="M22" i="2"/>
  <c r="P23" i="2"/>
  <c r="M100" i="2"/>
  <c r="P101" i="2"/>
  <c r="M67" i="2"/>
  <c r="P68" i="2"/>
  <c r="M166" i="2"/>
  <c r="P167" i="2"/>
  <c r="M148" i="2"/>
  <c r="P148" i="2" s="1"/>
  <c r="P149" i="2"/>
  <c r="M10" i="2"/>
  <c r="P11" i="2"/>
  <c r="M58" i="2"/>
  <c r="P59" i="2"/>
  <c r="M124" i="2"/>
  <c r="P125" i="2"/>
  <c r="M206" i="2"/>
  <c r="P207" i="2"/>
  <c r="M31" i="2"/>
  <c r="P32" i="2"/>
  <c r="M108" i="2"/>
  <c r="P109" i="2"/>
  <c r="M193" i="2"/>
  <c r="P194" i="2"/>
  <c r="M20" i="1"/>
  <c r="P21" i="1"/>
  <c r="M65" i="1"/>
  <c r="P66" i="1"/>
  <c r="M100" i="1"/>
  <c r="P101" i="1"/>
  <c r="M119" i="1"/>
  <c r="P120" i="1"/>
  <c r="M135" i="1"/>
  <c r="P136" i="1"/>
  <c r="M157" i="1"/>
  <c r="P158" i="1"/>
  <c r="M10" i="1"/>
  <c r="P11" i="1"/>
  <c r="M88" i="1"/>
  <c r="P89" i="1"/>
  <c r="M110" i="1"/>
  <c r="P111" i="1"/>
  <c r="M126" i="1"/>
  <c r="P126" i="1" s="1"/>
  <c r="P127" i="1"/>
  <c r="M147" i="1"/>
  <c r="P148" i="1"/>
  <c r="M37" i="1"/>
  <c r="P38" i="1"/>
  <c r="M50" i="1"/>
  <c r="P50" i="1" s="1"/>
  <c r="P51" i="1"/>
  <c r="M74" i="1"/>
  <c r="P75" i="1"/>
  <c r="M192" i="2" l="1"/>
  <c r="P193" i="2"/>
  <c r="P108" i="2"/>
  <c r="M30" i="2"/>
  <c r="P31" i="2"/>
  <c r="M205" i="2"/>
  <c r="P206" i="2"/>
  <c r="M123" i="2"/>
  <c r="P123" i="2" s="1"/>
  <c r="P124" i="2"/>
  <c r="M57" i="2"/>
  <c r="P57" i="2" s="1"/>
  <c r="P58" i="2"/>
  <c r="M9" i="2"/>
  <c r="P10" i="2"/>
  <c r="M165" i="2"/>
  <c r="P166" i="2"/>
  <c r="M66" i="2"/>
  <c r="P66" i="2" s="1"/>
  <c r="P67" i="2"/>
  <c r="M99" i="2"/>
  <c r="P100" i="2"/>
  <c r="M21" i="2"/>
  <c r="P21" i="2" s="1"/>
  <c r="P22" i="2"/>
  <c r="M216" i="2"/>
  <c r="P217" i="2"/>
  <c r="M75" i="2"/>
  <c r="P75" i="2" s="1"/>
  <c r="P76" i="2"/>
  <c r="M40" i="2"/>
  <c r="P40" i="2" s="1"/>
  <c r="P41" i="2"/>
  <c r="M73" i="1"/>
  <c r="P74" i="1"/>
  <c r="M36" i="1"/>
  <c r="P37" i="1"/>
  <c r="M146" i="1"/>
  <c r="P146" i="1" s="1"/>
  <c r="P147" i="1"/>
  <c r="M109" i="1"/>
  <c r="P110" i="1"/>
  <c r="M87" i="1"/>
  <c r="P88" i="1"/>
  <c r="M9" i="1"/>
  <c r="P10" i="1"/>
  <c r="M156" i="1"/>
  <c r="P157" i="1"/>
  <c r="M134" i="1"/>
  <c r="P135" i="1"/>
  <c r="P119" i="1"/>
  <c r="M118" i="1"/>
  <c r="M99" i="1"/>
  <c r="P99" i="1" s="1"/>
  <c r="P100" i="1"/>
  <c r="M64" i="1"/>
  <c r="P65" i="1"/>
  <c r="M19" i="1"/>
  <c r="P19" i="1" s="1"/>
  <c r="P20" i="1"/>
  <c r="M107" i="2" l="1"/>
  <c r="P107" i="2" s="1"/>
  <c r="M215" i="2"/>
  <c r="P215" i="2" s="1"/>
  <c r="P216" i="2"/>
  <c r="M98" i="2"/>
  <c r="P99" i="2"/>
  <c r="P165" i="2"/>
  <c r="M164" i="2"/>
  <c r="P164" i="2" s="1"/>
  <c r="M8" i="2"/>
  <c r="P9" i="2"/>
  <c r="M204" i="2"/>
  <c r="P204" i="2" s="1"/>
  <c r="P205" i="2"/>
  <c r="M29" i="2"/>
  <c r="P29" i="2" s="1"/>
  <c r="P30" i="2"/>
  <c r="M191" i="2"/>
  <c r="P191" i="2" s="1"/>
  <c r="P192" i="2"/>
  <c r="P118" i="1"/>
  <c r="M63" i="1"/>
  <c r="P63" i="1" s="1"/>
  <c r="P64" i="1"/>
  <c r="M133" i="1"/>
  <c r="P133" i="1" s="1"/>
  <c r="P134" i="1"/>
  <c r="M155" i="1"/>
  <c r="P155" i="1" s="1"/>
  <c r="P156" i="1"/>
  <c r="M8" i="1"/>
  <c r="P9" i="1"/>
  <c r="M86" i="1"/>
  <c r="P87" i="1"/>
  <c r="M108" i="1"/>
  <c r="P108" i="1" s="1"/>
  <c r="P109" i="1"/>
  <c r="P36" i="1"/>
  <c r="M35" i="1"/>
  <c r="M72" i="1"/>
  <c r="P72" i="1" s="1"/>
  <c r="P73" i="1"/>
  <c r="M7" i="2" l="1"/>
  <c r="P7" i="2" s="1"/>
  <c r="P8" i="2"/>
  <c r="P98" i="2"/>
  <c r="M97" i="2"/>
  <c r="P35" i="1"/>
  <c r="P86" i="1"/>
  <c r="M85" i="1"/>
  <c r="P85" i="1" s="1"/>
  <c r="M7" i="1"/>
  <c r="P7" i="1" s="1"/>
  <c r="P8" i="1"/>
  <c r="M117" i="1"/>
  <c r="P117" i="1" s="1"/>
  <c r="M6" i="2" l="1"/>
  <c r="P6" i="2" s="1"/>
  <c r="P97" i="2"/>
  <c r="M6" i="1"/>
  <c r="P6" i="1" s="1"/>
</calcChain>
</file>

<file path=xl/sharedStrings.xml><?xml version="1.0" encoding="utf-8"?>
<sst xmlns="http://schemas.openxmlformats.org/spreadsheetml/2006/main" count="5111" uniqueCount="415">
  <si>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</si>
  <si>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</si>
  <si>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</si>
  <si>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</si>
  <si>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</si>
  <si>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</si>
  <si>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</si>
  <si>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</si>
  <si>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</si>
  <si>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</si>
  <si>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</si>
  <si>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</si>
  <si>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</si>
  <si>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</si>
  <si>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</si>
  <si>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</si>
  <si>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</si>
  <si>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</si>
  <si>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</si>
  <si>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</si>
  <si>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</si>
  <si>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</si>
  <si>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</si>
  <si>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</si>
  <si>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</si>
  <si>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</si>
  <si>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</si>
  <si>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02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</si>
  <si>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</si>
  <si>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</si>
  <si>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</si>
  <si>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</si>
  <si>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03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</si>
  <si>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</si>
  <si>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</si>
  <si>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</si>
  <si>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</si>
  <si>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2022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</si>
  <si>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</si>
  <si>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</si>
  <si>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</si>
  <si>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</si>
  <si>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</si>
  <si>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</si>
  <si>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</si>
  <si>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</si>
  <si>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</si>
  <si>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</si>
  <si>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</si>
  <si>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</si>
  <si>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Реконструкция автомобильной дороги "Брянск - Новозыбков" - Трубчевск" - Ломакино на участке км 0+005 - км 5+540 в Трубчевском районе Брянской области</t>
  </si>
  <si>
    <t>км</t>
  </si>
  <si>
    <t>5,535</t>
  </si>
  <si>
    <t>2020</t>
  </si>
  <si>
    <t>Реконструкция автомобильной дороги "Брянск-Новозыбков"-Баклань-Котляково на участке км 0+000 - км 17+690 в Унечском и Почепском районах Брянской области. 1 этап км 9+913 - км 17+690</t>
  </si>
  <si>
    <t>7,777</t>
  </si>
  <si>
    <t>Реконструкция автомобильной дороги "Брянск-Новозыбков" - Трубчевск" - Мошки на участке км 0+000 - км 9+236 в Трубчевском районе Брянской области</t>
  </si>
  <si>
    <t>9,236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</si>
  <si>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</si>
  <si>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</si>
  <si>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</si>
  <si>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</si>
  <si>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</si>
  <si>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</si>
  <si>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</si>
  <si>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</si>
  <si>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</si>
  <si>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</si>
  <si>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</si>
  <si>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</si>
  <si>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</si>
  <si>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</si>
  <si>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</si>
  <si>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</si>
  <si>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</si>
  <si>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</si>
  <si>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</si>
  <si>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</si>
  <si>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</si>
  <si>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</si>
  <si>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коек</t>
  </si>
  <si>
    <t>Хирургический корпус ГБУЗ "Брянская областная детская больница" по адресу: г. Брянск, пр. Станке Димитрова, д. 100</t>
  </si>
  <si>
    <t>200</t>
  </si>
  <si>
    <t>Офис врача общей практики в п.Толмачево Брянского района Брянской области</t>
  </si>
  <si>
    <t>пос.в день</t>
  </si>
  <si>
    <t>35</t>
  </si>
  <si>
    <t>пос. в смену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</si>
  <si>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</si>
  <si>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</si>
  <si>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150</t>
  </si>
  <si>
    <t>Региональный проект "Развитие системы оказания первичной медико-санитарной помощи"</t>
  </si>
  <si>
    <t>N1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</si>
  <si>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</si>
  <si>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</si>
  <si>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Фельдшерско-акушерский пункт в н.п. Лопатни Клинцовского района Брянской области</t>
  </si>
  <si>
    <t>15</t>
  </si>
  <si>
    <t>Фельдшерско-акушерский пункт в н.п. Рассуха Унечского района Брянской области</t>
  </si>
  <si>
    <t>Фельдшерско-акушерский пункт в н.п. Старая Мармазовка Клетнянского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</si>
  <si>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</si>
  <si>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</si>
  <si>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</si>
  <si>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</si>
  <si>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</si>
  <si>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</si>
  <si>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</si>
  <si>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</si>
  <si>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</si>
  <si>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</si>
  <si>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</si>
  <si>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</si>
  <si>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</si>
  <si>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</si>
  <si>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</si>
  <si>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</si>
  <si>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</si>
  <si>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Региональный проект "Культурная среда"</t>
  </si>
  <si>
    <t>A1</t>
  </si>
  <si>
    <t>Реновация государственных и муниципальных учреждений отрасли культуры</t>
  </si>
  <si>
    <t>14280</t>
  </si>
  <si>
    <t>Государственный заказчик: государственное автономное учреждение культуры "Мемориальный комплекс "Партизанская поляна"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</si>
  <si>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</si>
  <si>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</si>
  <si>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кв.м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</si>
  <si>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</si>
  <si>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</si>
  <si>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</si>
  <si>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</si>
  <si>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</si>
  <si>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</si>
  <si>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</si>
  <si>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</si>
  <si>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</si>
  <si>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</si>
  <si>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</si>
  <si>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</si>
  <si>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</si>
  <si>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</si>
  <si>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</si>
  <si>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</si>
  <si>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</si>
  <si>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</si>
  <si>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</si>
  <si>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</si>
  <si>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Судость на км 8+200 автомобильной дороги Валуец-Баклань в Почепском районе Брянской области</t>
  </si>
  <si>
    <t>0,996</t>
  </si>
  <si>
    <t>Развитие физической культуры и спорта Брянской области</t>
  </si>
  <si>
    <t>25</t>
  </si>
  <si>
    <t>Развитие инфраструктуры сферы физической культуры и спорта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</si>
  <si>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</si>
  <si>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</si>
  <si>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</si>
  <si>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</si>
  <si>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</si>
  <si>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</si>
  <si>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</si>
  <si>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</si>
  <si>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</si>
  <si>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</si>
  <si>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</si>
  <si>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</si>
  <si>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</si>
  <si>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Строительство физкультурно-оздоровительного комплекса в Фокинском районе г. Брянска для ГБУ БО СШОР "Локомотив"</t>
  </si>
  <si>
    <t>чел.в смену</t>
  </si>
  <si>
    <t>2023</t>
  </si>
  <si>
    <t>51390</t>
  </si>
  <si>
    <t>Дворец единоборств в Советском районе г.Брянска</t>
  </si>
  <si>
    <t>4024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</si>
  <si>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</si>
  <si>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</si>
  <si>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</si>
  <si>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</si>
  <si>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</si>
  <si>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кв.м.</t>
  </si>
  <si>
    <t>223,93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</si>
  <si>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</si>
  <si>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</si>
  <si>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</si>
  <si>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</si>
  <si>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</si>
  <si>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</si>
  <si>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</si>
  <si>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</si>
  <si>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</si>
  <si>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</si>
  <si>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</si>
  <si>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</si>
  <si>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"Управление государственным имуществом Брянской области"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</si>
  <si>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</si>
  <si>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</si>
  <si>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</si>
  <si>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</si>
  <si>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</si>
  <si>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</si>
  <si>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</si>
  <si>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</si>
  <si>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</si>
  <si>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Ведомственный проект "Развитие инженерной инфраструктуры на сельских территориях"</t>
  </si>
  <si>
    <t>В1</t>
  </si>
  <si>
    <t>Обеспечение комплексного развития сельских территорий</t>
  </si>
  <si>
    <t>R5760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</si>
  <si>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</si>
  <si>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</si>
  <si>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Климовский муниципальный район</t>
  </si>
  <si>
    <t>Водопроводная сеть по улице Первомайская в н.п. Гетманская Буда Климовского района Брянской области</t>
  </si>
  <si>
    <t>0,861</t>
  </si>
  <si>
    <t>Стародубский муниципальный район</t>
  </si>
  <si>
    <t>Реконструкция сетей водоснабжения в н.п. Логоватое Стародубского района. II этап</t>
  </si>
  <si>
    <t>4,191</t>
  </si>
  <si>
    <t>Унечский муниципальный район</t>
  </si>
  <si>
    <t>3,281</t>
  </si>
  <si>
    <t>Реконструкция автомобильной дороги Подъезд к ферме КРС ООО "Красный Октябрь" в с. Степок Стародубского района Брянской области</t>
  </si>
  <si>
    <t>2,4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</si>
  <si>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</si>
  <si>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</si>
  <si>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</si>
  <si>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</si>
  <si>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</si>
  <si>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</si>
  <si>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</si>
  <si>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</si>
  <si>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</si>
  <si>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</si>
  <si>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</si>
  <si>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</si>
  <si>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</si>
  <si>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</si>
  <si>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</si>
  <si>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</si>
  <si>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</si>
  <si>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</si>
  <si>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</si>
  <si>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</si>
  <si>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Унечское городское поселение Унечского муниципального района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</si>
  <si>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</si>
  <si>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Софинансирование объектов капитальных вложений муниципальной собственности</t>
  </si>
  <si>
    <t>11270</t>
  </si>
  <si>
    <t>сети км</t>
  </si>
  <si>
    <t>Гордеевский муниципальный район</t>
  </si>
  <si>
    <t>Дубровский муниципальный район</t>
  </si>
  <si>
    <t>скважина</t>
  </si>
  <si>
    <t>Жуковский муниципальный район</t>
  </si>
  <si>
    <t>Почепский муниципальный район</t>
  </si>
  <si>
    <t>Карачевское городское поселение Карачевского муниципального района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</si>
  <si>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</si>
  <si>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</si>
  <si>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м3/сутки</t>
  </si>
  <si>
    <t>Локотское городское поселение Брасовского муниципального района</t>
  </si>
  <si>
    <t>Суземское городское поселение Суземского муниципального района</t>
  </si>
  <si>
    <t>уч. мест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</si>
  <si>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</si>
  <si>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</si>
  <si>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</si>
  <si>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55</t>
  </si>
  <si>
    <t>Навлинский муниципальный район</t>
  </si>
  <si>
    <t>75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</si>
  <si>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</si>
  <si>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</si>
  <si>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</si>
  <si>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</si>
  <si>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</si>
  <si>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</si>
  <si>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Детский сад в районе старого аэропорта в Советском районе г. Брянска</t>
  </si>
  <si>
    <t>Пристройка к детскому саду № 15 "Ягодка" в Володарском районе города Брянска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</si>
  <si>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</si>
  <si>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</si>
  <si>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17</t>
  </si>
  <si>
    <t>Реконструкция системы водоснабжения в с. Гордеевка Брянской области</t>
  </si>
  <si>
    <t>6,309</t>
  </si>
  <si>
    <t>Строительство систем газоснабжения для населенных пунктов Брянской области</t>
  </si>
  <si>
    <t>Брянский муниципальный район</t>
  </si>
  <si>
    <t>Газификация квартала застройки в н.п.Кабаличи (фруктовый сад) Брянского района Брянской области</t>
  </si>
  <si>
    <t>0,162</t>
  </si>
  <si>
    <t>Клетнянский муниципальный район</t>
  </si>
  <si>
    <t>Газификация н.п. Мытничи Стародубского района Брянской области</t>
  </si>
  <si>
    <t>Суражский муниципальный район</t>
  </si>
  <si>
    <t>Газификация н.п.Жемердеевка Суражского района Брянской области</t>
  </si>
  <si>
    <t>Водопроводные сети по ул. Профсоюзов в Володарском районе г.Брянска</t>
  </si>
  <si>
    <t>2,576</t>
  </si>
  <si>
    <t>башня</t>
  </si>
  <si>
    <t>Реконструкция водопроводной сети в н.п.Алешковичи (ул.Центральная) Суземского района Брянской области</t>
  </si>
  <si>
    <t>Водоснабжение н.п.Шулаковка ул.Пролетарская Унечского района Брянской области</t>
  </si>
  <si>
    <t>1,436</t>
  </si>
  <si>
    <t>Кокоревское городское поселение Суземского муниципального района</t>
  </si>
  <si>
    <t>0,74</t>
  </si>
  <si>
    <t>Реконструкция водопроводной сети по ул.Горожанская, ул.Вокзальная п.Суземка Суземского района Брянской области</t>
  </si>
  <si>
    <t>Модернизация объектов коммунальной инфраструктуры</t>
  </si>
  <si>
    <t>пог. м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</si>
  <si>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</si>
  <si>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</si>
  <si>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Литейного моста через реку Десна в Бежицком районе г. Брянска (1 пусковой комплекс)</t>
  </si>
  <si>
    <t>Строительство автомобильной дороги - защитной дамбы Брянск 1 - Брянск 2 г.Брянска (1 этап). (ПК 0+00 - ПК 17+00)</t>
  </si>
  <si>
    <t>1,7</t>
  </si>
  <si>
    <t>Строительство автомобильных дорог в ГУП ОНО ОПХ «Черемушки» в д. Дубровка Брянского района Брянской области (2 этап)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</si>
  <si>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</si>
  <si>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</si>
  <si>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</si>
  <si>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</si>
  <si>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</si>
  <si>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</si>
  <si>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</si>
  <si>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</si>
  <si>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</si>
  <si>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</si>
  <si>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</si>
  <si>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</si>
  <si>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1225</t>
  </si>
  <si>
    <t>Спортивно-оздоровительный комплекс в Бежицком районе г.Брянска</t>
  </si>
  <si>
    <t>72</t>
  </si>
  <si>
    <t>Спортивно-оздоровительный комплекс в Фокинском районе г.Брянска</t>
  </si>
  <si>
    <t>чел.</t>
  </si>
  <si>
    <t>80</t>
  </si>
  <si>
    <t>Дворец спорта по ул. Гагарина, 8а, г.Новозыбков Брянской области</t>
  </si>
  <si>
    <t>Ледовый дворец г.Стародуб Брянской области</t>
  </si>
  <si>
    <t>Спортивный центр с бассейном г.Жуковка</t>
  </si>
  <si>
    <t>Дворец спорта г.Жуковка Брянской области</t>
  </si>
  <si>
    <t>Дворец спорта г. Почеп Брянской области</t>
  </si>
  <si>
    <t>Дятьковское городское поселение Дятьковского муниципального района</t>
  </si>
  <si>
    <t>Спортивно-оздоровительный комплекс г.Дятьково Дятьковского района</t>
  </si>
  <si>
    <t>Дворец спорта, г. Дятьково Брянской области</t>
  </si>
  <si>
    <t>Развитие инфраструктуры сферы культуры</t>
  </si>
  <si>
    <t>Газификация ФАП н.п. Тростань г. Новозыбкова</t>
  </si>
  <si>
    <t>Реконструкция сетей водоснабжения в с. Гордеевка Гордеевского района Брянской области</t>
  </si>
  <si>
    <t>Красногорский муниципальный район</t>
  </si>
  <si>
    <t>Реконструкция водозаборного узла в с. Городец Выгоничского района Брянской области</t>
  </si>
  <si>
    <t>Наименование государственного заказчика; объекта</t>
  </si>
  <si>
    <t>Нераспределенные средства</t>
  </si>
  <si>
    <t>Газификация ФАП н.п.Пролысово Навлинского района Брянской области</t>
  </si>
  <si>
    <t>Газификация ФАП н.п.Соколово Навлинского района Брянской области</t>
  </si>
  <si>
    <t>Пристройка к МБДОУ "Детский сад №3 п.Навля комбинированного вида" на 55 мест</t>
  </si>
  <si>
    <t>Строительство водопроводных сетей в н.п.Березина Унечского района Брянской области</t>
  </si>
  <si>
    <t>Новозыбковский городской округ</t>
  </si>
  <si>
    <t>Городской округ город Клинцы</t>
  </si>
  <si>
    <t>Городской округ город Брянск</t>
  </si>
  <si>
    <t>Реконструкция водопроводных сетей в пгт Кокоревка Суземского района Брянской области по ул.В.Качановой</t>
  </si>
  <si>
    <t>Строительство водозаборного сооружения в с.Красный Рог Почепского района Брянской области</t>
  </si>
  <si>
    <t>Реконструкция сетей водоснабжения в н.п. Логоватое Стародубского района I этап</t>
  </si>
  <si>
    <t>Строительство водонапорной башни в с.Курковичи Стародубского района Брянской области</t>
  </si>
  <si>
    <t>Газификация ул. Лесной в н.п. Козёлкино Брянского района Брянской области</t>
  </si>
  <si>
    <t>Фельдшерско-акушерский пункт с жилым помещением для медицинского работника в н.п. Дмитрово Почепского района Брянской области</t>
  </si>
  <si>
    <t>Водоснабжение участка №8 ГУП ОНО ОПХ "Черемушки" д. Дубровка, Брянского района, Брянской области (3-я очередь застройки) (2 этап строительства)</t>
  </si>
  <si>
    <t>Развитие малоэтажного жилищного строительства</t>
  </si>
  <si>
    <t>Подпрограмма "Развитие малоэтажного строительства на территории Брянской области"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</si>
  <si>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</si>
  <si>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</si>
  <si>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R1</t>
  </si>
  <si>
    <t>Региональный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</si>
  <si>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</si>
  <si>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Иные межбюджетные трансферты</t>
  </si>
  <si>
    <t>Строительство автомобильной дороги - защитной дамбы Брянск 1 - Брянск 2 г.Брянска (1 этап). (ПК 17+00 - ПК 47+60)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</si>
  <si>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</si>
  <si>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</si>
  <si>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</si>
  <si>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</si>
  <si>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Строительство котельной в целях переключения потребителей от котельной ООО "Теплопоставка", расположенной по адресу проспект Московский, 142/3 в  г.Брянске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</si>
  <si>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</si>
  <si>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</si>
  <si>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Газопровод низкого давления в н.п.Николаевка Клетнянского района Брянской области</t>
  </si>
  <si>
    <t>Реконструкция парка в п. Локоть Брасовского района</t>
  </si>
  <si>
    <t>Реконструкция аэропортового комплекса (г. Брянск) (ПИР)</t>
  </si>
  <si>
    <t xml:space="preserve"> Государственный заказчик: Государственное бюджетное учреждение здравоохранения "Карачевская центральная районная больница" </t>
  </si>
  <si>
    <t xml:space="preserve">Жилое помещение (квартира 1-комн.)  Карачевский район, г. Карачев                                       </t>
  </si>
  <si>
    <t xml:space="preserve">Жилое помещение (квартира 2-комн.)  Карачевский район, г. Карачев                                       </t>
  </si>
  <si>
    <t xml:space="preserve"> 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</si>
  <si>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Жилое помещение (квартира 1-комн.)                                          г. Новозыбков </t>
  </si>
  <si>
    <t>Строительство крытого футбольного манежа в Бежицком районе г. Брянска для ГБУ БО СШ "Динамо-Брянск"</t>
  </si>
  <si>
    <t>Пристройка на 55 мест для детей в возрасте 1,5 до 3 лет к МБДОУ – детский сад №3 «Колобок»</t>
  </si>
  <si>
    <t>Реконструкция здания музея ГАУК "Мемориальный комплекс "Партизанская поляна"</t>
  </si>
  <si>
    <t>Пристройка к детскому саду № 147 "Голубые дорожки" в Бежицком районе города Брянска</t>
  </si>
  <si>
    <t>2,4/2/2/1/2</t>
  </si>
  <si>
    <t xml:space="preserve"> Государственный заказчик: Государственное автономное учреждение здравоохранения "Брянская областная больница № 1" </t>
  </si>
  <si>
    <t>Жилое помещение (квартира 1-комн.)                                          Унечский район, г. Унеча</t>
  </si>
  <si>
    <t>сети км/скважина/насосная станция 1-го подъема/насосная станция 2-го подъема/резервуар чистой воды</t>
  </si>
  <si>
    <t>Стародубский муниципальный округ</t>
  </si>
  <si>
    <t>Самотечный канализационный коллектор из железобетонных труб D 1000 мм по ул. Набережной в Советском районе г. Брянска. Участок от КК-2 перед ТК «ГКНС Калинина, о/д 20» до канализационного колодца КК-30 на пересечении с ул. Горького</t>
  </si>
  <si>
    <t>Земельный участок из земель сельскохозяйственного  назначения площадью 16 230 кв. м с кадастровым номером 32:02:0300102:411, расположенный по адресу: Брянская область, Брянский район, СПК «Агрофирма «Культура»</t>
  </si>
  <si>
    <t>Детский сад на 200 мест, из них 120 мест для детей в возрасте от 1,5 до 3 лет в г. Почепе Брянской области</t>
  </si>
  <si>
    <t>Строительство теплотрассы для переключения потребителей от котельной ул. Вали Сафроновой, 56А (Электроаппарат) на планируемую к строительству котельную по ул. Вали Сафроновой, 52 в Советском районе г.Брянска  (1 этап)</t>
  </si>
  <si>
    <t>Строительство теплотрассы для переключения потребителей от котельной ул. Вали Сафроновой, 56А (Электроаппарат) на планируемую к строительству котельную по ул. Вали Сафроновой, 52 в Советском районе г.Брянска  (2 этап)</t>
  </si>
  <si>
    <t xml:space="preserve">Строительство теплотрассы для переключения потребителей от котельной пр-т Московский, 142/3 (Теплопоставка) на планируемую к строительству котельную по пр-т Московский, 106В в Фокинском районе г.Брянска </t>
  </si>
  <si>
    <t>Строительство БМК с целью ликвидации котельной № 14 в д. Березина Унечского района Брянской области</t>
  </si>
  <si>
    <t>Строительство БМК с целью ликвидации котельной по ул. Молодежной в д. Мадеевка Погарского района Брянской области</t>
  </si>
  <si>
    <t>Строительство блочно - модульной котельной по адресу: Брянская область, г. Клинцы, ул. 2-я Парковая, в 18 метрах на юг от жилого дома №19-а</t>
  </si>
  <si>
    <t>Модернизация водозаборного сооружения по пер. Славы в пгт Красная Гора Красногорского района Брянской области</t>
  </si>
  <si>
    <t>0,245/1/1/1</t>
  </si>
  <si>
    <t xml:space="preserve"> Государственный заказчик: Государственное бюджетное учреждение здравоохранения "Брянская межрайонная больница" </t>
  </si>
  <si>
    <t xml:space="preserve">Жилое помещение (квартира 1-комн.)  Брянский район, с. Глинищево                                   </t>
  </si>
  <si>
    <t xml:space="preserve">Жилое помещение (квартира 2-комн.)  Брянский район, с. Глинищево                                   </t>
  </si>
  <si>
    <t xml:space="preserve">Жилое помещение (квартира 3-комн.)  Брянский район, с. Глинищево                                   </t>
  </si>
  <si>
    <t xml:space="preserve"> Государственный заказчик: Государственное бюджетное учреждение здравоохранения "Навлинская центральная районная больница" </t>
  </si>
  <si>
    <t xml:space="preserve">Жилое помещение (квартира 1-комн.)  Навлинский район, р.п. Навля                                      </t>
  </si>
  <si>
    <t xml:space="preserve">Жилое помещение (квартира 2-комн.)  Навлинский район, р.п. Навля                                      </t>
  </si>
  <si>
    <t>5021F</t>
  </si>
  <si>
    <t>Финансовое обеспечение дорожной деятельности за счет средств резервного фонда Правительства Российской Федерации</t>
  </si>
  <si>
    <t>Стимулирование программ развития жилищного строительства субъектов Российской Федерации</t>
  </si>
  <si>
    <t>МБОУ «Навлинская ООШ» корпус № 1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</si>
  <si>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</si>
  <si>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Газификация здания МБУК "Центральный межпоселенческий Дом культуры Дубровского района "Структурное подразделение Сещинский сельский Дом культуры" по адресу: Брянская область, Дубровский район, п. Сеща, ул. Центральная, д. 14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</si>
  <si>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</si>
  <si>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сети км/ скважина/ насосная станция наземного типа/ водонапорная башня</t>
  </si>
  <si>
    <t>0,019/1/1/1</t>
  </si>
  <si>
    <t>3,919</t>
  </si>
  <si>
    <t>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</t>
  </si>
  <si>
    <t>Приложение 1</t>
  </si>
  <si>
    <t>Утверждено</t>
  </si>
  <si>
    <t>Освоено</t>
  </si>
  <si>
    <t>Исполнено</t>
  </si>
  <si>
    <t>Процент исполнения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</si>
  <si>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декабрь 2020 года</t>
  </si>
  <si>
    <t>Приложение 2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</si>
  <si>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декабрь 2020 года</t>
  </si>
  <si>
    <t>Приложение 3</t>
  </si>
  <si>
    <t>Отчет об исполнении перечня объектов недвижимого имущества 
региональной адресной инвестиционной программы за январь - декабрь 2020 года</t>
  </si>
  <si>
    <t>Директор департамента</t>
  </si>
  <si>
    <t>Е.Н. Захаренко</t>
  </si>
  <si>
    <t>Исп. Бобаков Д.А.
Тел. 77-01-70 доб.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</si>
</sst>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0.0"/>
    <numFmt numFmtId="166" formatCode="#,##0.00_ ;\-#,##0.00\ "/>
    <numFmt numFmtId="167" formatCode="#,##0.0000_ ;\-#,##0.0000\ "/>
    <numFmt numFmtId="168" formatCode="0.000"/>
  </numFmts>
  <fonts count="14" x14ac:knownFonts="1">
    <font>
      <sz val="10"/>
      <color rgb="FF000000"/>
      <name val="Times New Roman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top" wrapText="1"/>
    </xf>
    <xf numFmtId="0" fontId="12" fillId="0" borderId="0"/>
  </cellStyleXfs>
  <cellXfs count="51">
    <xf numFmtId="0" fontId="0" fillId="0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right" vertical="center" wrapText="1"/>
    </xf>
    <xf numFmtId="10" fontId="10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right" vertical="top" wrapText="1"/>
    </xf>
    <xf numFmtId="4" fontId="7" fillId="2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66"/>
      <color rgb="FF00FFFF"/>
      <color rgb="FFCCECFF"/>
      <color rgb="FFFFFF66"/>
      <color rgb="FFFF00FF"/>
      <color rgb="FFCC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189"/>
  <sheetViews>
    <sheetView view="pageBreakPreview" zoomScaleNormal="100" zoomScaleSheetLayoutView="100" workbookViewId="0">
      <pane xSplit="1" ySplit="5" topLeftCell="B37" activePane="bottomRight" state="frozen"/>
      <selection pane="topRight" activeCell="B1" sqref="B1"/>
      <selection pane="bottomLeft" activeCell="A6" sqref="A6"/>
      <selection pane="bottomRight" activeCell="N34" sqref="N34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9" width="8.77734375" style="1" customWidth="1"/>
    <col min="10" max="11" width="11.109375" style="1" customWidth="1"/>
    <col min="12" max="12" width="11.7773437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24.75" customHeight="1" x14ac:dyDescent="0.25">
      <c r="A1" s="44" t="s">
        <v>402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45" customHeight="1" x14ac:dyDescent="0.25">
      <c r="A2" s="45" t="s">
        <v>407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7.25" customHeigh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38.25" customHeight="1" x14ac:dyDescent="0.25">
      <c r="A4" s="24" t="s">
        <v>324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5" t="s">
        <v>11</v>
      </c>
      <c r="L4" s="25" t="s">
        <v>12</v>
      </c>
      <c r="M4" s="24" t="s">
        <v>403</v>
      </c>
      <c r="N4" s="24" t="s">
        <v>404</v>
      </c>
      <c r="O4" s="24" t="s">
        <v>405</v>
      </c>
      <c r="P4" s="24" t="s">
        <v>406</v>
      </c>
    </row>
    <row r="5" spans="1:16" ht="14.4" customHeight="1" x14ac:dyDescent="0.25">
      <c r="A5" s="24" t="s">
        <v>13</v>
      </c>
      <c r="B5" s="24" t="s">
        <v>14</v>
      </c>
      <c r="C5" s="24" t="s">
        <v>15</v>
      </c>
      <c r="D5" s="24" t="s">
        <v>16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  <c r="K5" s="24" t="s">
        <v>23</v>
      </c>
      <c r="L5" s="24" t="s">
        <v>24</v>
      </c>
      <c r="M5" s="24" t="s">
        <v>25</v>
      </c>
      <c r="N5" s="24" t="s">
        <v>70</v>
      </c>
      <c r="O5" s="24" t="s">
        <v>95</v>
      </c>
      <c r="P5" s="24" t="s">
        <v>124</v>
      </c>
    </row>
    <row r="6" spans="1:16" s="34" customFormat="1" ht="15" customHeight="1" x14ac:dyDescent="0.25">
      <c r="A6" s="29" t="s">
        <v>26</v>
      </c>
      <c r="B6" s="30" t="s">
        <v>0</v>
      </c>
      <c r="C6" s="30" t="s">
        <v>0</v>
      </c>
      <c r="D6" s="30" t="s">
        <v>0</v>
      </c>
      <c r="E6" s="30" t="s">
        <v>0</v>
      </c>
      <c r="F6" s="30" t="s">
        <v>0</v>
      </c>
      <c r="G6" s="30" t="s">
        <v>0</v>
      </c>
      <c r="H6" s="31" t="s">
        <v>0</v>
      </c>
      <c r="I6" s="31" t="s">
        <v>0</v>
      </c>
      <c r="J6" s="31" t="s">
        <v>0</v>
      </c>
      <c r="K6" s="31" t="s">
        <v>0</v>
      </c>
      <c r="L6" s="31" t="s">
        <v>0</v>
      </c>
      <c r="M6" s="32">
        <f>M7+M19+M35+M63+M72+M85+M117+M146+M155</f>
        <v>2253976155.8900003</v>
      </c>
      <c r="N6" s="32">
        <f t="shared" ref="N6:O6" si="0">N7+N19+N35+N63+N72+N85+N117+N146+N155</f>
        <v>2086838032.51</v>
      </c>
      <c r="O6" s="32">
        <f t="shared" si="0"/>
        <v>2225554556.5999999</v>
      </c>
      <c r="P6" s="33">
        <f>O6/M6</f>
        <v>0.98739046142270392</v>
      </c>
    </row>
    <row r="7" spans="1:16" s="34" customFormat="1" ht="32.25" customHeight="1" x14ac:dyDescent="0.25">
      <c r="A7" s="29" t="s">
        <v>38</v>
      </c>
      <c r="B7" s="30" t="s">
        <v>39</v>
      </c>
      <c r="C7" s="30" t="s">
        <v>0</v>
      </c>
      <c r="D7" s="30" t="s">
        <v>0</v>
      </c>
      <c r="E7" s="30" t="s">
        <v>0</v>
      </c>
      <c r="F7" s="30" t="s">
        <v>0</v>
      </c>
      <c r="G7" s="30" t="s">
        <v>0</v>
      </c>
      <c r="H7" s="31" t="s">
        <v>0</v>
      </c>
      <c r="I7" s="31" t="s">
        <v>0</v>
      </c>
      <c r="J7" s="31" t="s">
        <v>0</v>
      </c>
      <c r="K7" s="31" t="s">
        <v>0</v>
      </c>
      <c r="L7" s="31" t="s">
        <v>0</v>
      </c>
      <c r="M7" s="32">
        <f t="shared" ref="M7:O14" si="1">M8</f>
        <v>412772356.82000005</v>
      </c>
      <c r="N7" s="32">
        <f t="shared" si="1"/>
        <v>412524760.98000002</v>
      </c>
      <c r="O7" s="32">
        <f t="shared" si="1"/>
        <v>412524760.98000002</v>
      </c>
      <c r="P7" s="33">
        <f t="shared" ref="P7:P70" si="2">O7/M7</f>
        <v>0.99940016370789098</v>
      </c>
    </row>
    <row r="8" spans="1:16" s="34" customFormat="1" ht="48.9" customHeight="1" x14ac:dyDescent="0.25">
      <c r="A8" s="29" t="s">
        <v>40</v>
      </c>
      <c r="B8" s="30" t="s">
        <v>39</v>
      </c>
      <c r="C8" s="30" t="s">
        <v>15</v>
      </c>
      <c r="D8" s="30" t="s">
        <v>0</v>
      </c>
      <c r="E8" s="30" t="s">
        <v>0</v>
      </c>
      <c r="F8" s="30" t="s">
        <v>0</v>
      </c>
      <c r="G8" s="30" t="s">
        <v>0</v>
      </c>
      <c r="H8" s="31" t="s">
        <v>0</v>
      </c>
      <c r="I8" s="31" t="s">
        <v>0</v>
      </c>
      <c r="J8" s="31" t="s">
        <v>0</v>
      </c>
      <c r="K8" s="31" t="s">
        <v>0</v>
      </c>
      <c r="L8" s="31" t="s">
        <v>0</v>
      </c>
      <c r="M8" s="32">
        <f t="shared" si="1"/>
        <v>412772356.82000005</v>
      </c>
      <c r="N8" s="32">
        <f t="shared" si="1"/>
        <v>412524760.98000002</v>
      </c>
      <c r="O8" s="32">
        <f t="shared" si="1"/>
        <v>412524760.98000002</v>
      </c>
      <c r="P8" s="33">
        <f t="shared" si="2"/>
        <v>0.99940016370789098</v>
      </c>
    </row>
    <row r="9" spans="1:16" s="34" customFormat="1" ht="48.9" customHeight="1" x14ac:dyDescent="0.25">
      <c r="A9" s="29" t="s">
        <v>41</v>
      </c>
      <c r="B9" s="30" t="s">
        <v>39</v>
      </c>
      <c r="C9" s="30" t="s">
        <v>15</v>
      </c>
      <c r="D9" s="30" t="s">
        <v>42</v>
      </c>
      <c r="E9" s="30" t="s">
        <v>0</v>
      </c>
      <c r="F9" s="30" t="s">
        <v>0</v>
      </c>
      <c r="G9" s="30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2">
        <f t="shared" si="1"/>
        <v>412772356.82000005</v>
      </c>
      <c r="N9" s="32">
        <f t="shared" si="1"/>
        <v>412524760.98000002</v>
      </c>
      <c r="O9" s="32">
        <f t="shared" si="1"/>
        <v>412524760.98000002</v>
      </c>
      <c r="P9" s="33">
        <f t="shared" si="2"/>
        <v>0.99940016370789098</v>
      </c>
    </row>
    <row r="10" spans="1:16" s="34" customFormat="1" ht="32.25" customHeight="1" x14ac:dyDescent="0.25">
      <c r="A10" s="29" t="s">
        <v>29</v>
      </c>
      <c r="B10" s="30" t="s">
        <v>39</v>
      </c>
      <c r="C10" s="30" t="s">
        <v>15</v>
      </c>
      <c r="D10" s="30" t="s">
        <v>42</v>
      </c>
      <c r="E10" s="30" t="s">
        <v>30</v>
      </c>
      <c r="F10" s="30" t="s">
        <v>0</v>
      </c>
      <c r="G10" s="30" t="s">
        <v>0</v>
      </c>
      <c r="H10" s="31" t="s">
        <v>0</v>
      </c>
      <c r="I10" s="31" t="s">
        <v>0</v>
      </c>
      <c r="J10" s="31" t="s">
        <v>0</v>
      </c>
      <c r="K10" s="31" t="s">
        <v>0</v>
      </c>
      <c r="L10" s="31" t="s">
        <v>0</v>
      </c>
      <c r="M10" s="32">
        <f t="shared" si="1"/>
        <v>412772356.82000005</v>
      </c>
      <c r="N10" s="32">
        <f t="shared" si="1"/>
        <v>412524760.98000002</v>
      </c>
      <c r="O10" s="32">
        <f t="shared" si="1"/>
        <v>412524760.98000002</v>
      </c>
      <c r="P10" s="33">
        <f t="shared" si="2"/>
        <v>0.99940016370789098</v>
      </c>
    </row>
    <row r="11" spans="1:16" s="34" customFormat="1" ht="64.5" customHeight="1" x14ac:dyDescent="0.25">
      <c r="A11" s="29" t="s">
        <v>43</v>
      </c>
      <c r="B11" s="30" t="s">
        <v>39</v>
      </c>
      <c r="C11" s="30" t="s">
        <v>15</v>
      </c>
      <c r="D11" s="30" t="s">
        <v>42</v>
      </c>
      <c r="E11" s="30" t="s">
        <v>30</v>
      </c>
      <c r="F11" s="30" t="s">
        <v>0</v>
      </c>
      <c r="G11" s="30" t="s">
        <v>0</v>
      </c>
      <c r="H11" s="31" t="s">
        <v>0</v>
      </c>
      <c r="I11" s="31" t="s">
        <v>0</v>
      </c>
      <c r="J11" s="31" t="s">
        <v>0</v>
      </c>
      <c r="K11" s="31" t="s">
        <v>0</v>
      </c>
      <c r="L11" s="31" t="s">
        <v>0</v>
      </c>
      <c r="M11" s="32">
        <f t="shared" si="1"/>
        <v>412772356.82000005</v>
      </c>
      <c r="N11" s="32">
        <f t="shared" si="1"/>
        <v>412524760.98000002</v>
      </c>
      <c r="O11" s="32">
        <f t="shared" si="1"/>
        <v>412524760.98000002</v>
      </c>
      <c r="P11" s="33">
        <f t="shared" si="2"/>
        <v>0.99940016370789098</v>
      </c>
    </row>
    <row r="12" spans="1:16" s="34" customFormat="1" ht="15" customHeight="1" x14ac:dyDescent="0.25">
      <c r="A12" s="35" t="s">
        <v>44</v>
      </c>
      <c r="B12" s="30" t="s">
        <v>39</v>
      </c>
      <c r="C12" s="30" t="s">
        <v>15</v>
      </c>
      <c r="D12" s="30" t="s">
        <v>42</v>
      </c>
      <c r="E12" s="30" t="s">
        <v>30</v>
      </c>
      <c r="F12" s="30" t="s">
        <v>45</v>
      </c>
      <c r="G12" s="30" t="s">
        <v>0</v>
      </c>
      <c r="H12" s="30" t="s">
        <v>0</v>
      </c>
      <c r="I12" s="30" t="s">
        <v>0</v>
      </c>
      <c r="J12" s="30" t="s">
        <v>0</v>
      </c>
      <c r="K12" s="30" t="s">
        <v>0</v>
      </c>
      <c r="L12" s="30" t="s">
        <v>0</v>
      </c>
      <c r="M12" s="32">
        <f t="shared" si="1"/>
        <v>412772356.82000005</v>
      </c>
      <c r="N12" s="32">
        <f t="shared" si="1"/>
        <v>412524760.98000002</v>
      </c>
      <c r="O12" s="32">
        <f t="shared" si="1"/>
        <v>412524760.98000002</v>
      </c>
      <c r="P12" s="33">
        <f t="shared" si="2"/>
        <v>0.99940016370789098</v>
      </c>
    </row>
    <row r="13" spans="1:16" s="34" customFormat="1" ht="32.25" customHeight="1" x14ac:dyDescent="0.25">
      <c r="A13" s="35" t="s">
        <v>46</v>
      </c>
      <c r="B13" s="30" t="s">
        <v>39</v>
      </c>
      <c r="C13" s="30" t="s">
        <v>15</v>
      </c>
      <c r="D13" s="30" t="s">
        <v>42</v>
      </c>
      <c r="E13" s="30" t="s">
        <v>30</v>
      </c>
      <c r="F13" s="30" t="s">
        <v>45</v>
      </c>
      <c r="G13" s="30" t="s">
        <v>47</v>
      </c>
      <c r="H13" s="30" t="s">
        <v>0</v>
      </c>
      <c r="I13" s="30" t="s">
        <v>0</v>
      </c>
      <c r="J13" s="30" t="s">
        <v>0</v>
      </c>
      <c r="K13" s="30" t="s">
        <v>0</v>
      </c>
      <c r="L13" s="30" t="s">
        <v>0</v>
      </c>
      <c r="M13" s="32">
        <f t="shared" si="1"/>
        <v>412772356.82000005</v>
      </c>
      <c r="N13" s="32">
        <f t="shared" si="1"/>
        <v>412524760.98000002</v>
      </c>
      <c r="O13" s="32">
        <f t="shared" si="1"/>
        <v>412524760.98000002</v>
      </c>
      <c r="P13" s="33">
        <f t="shared" si="2"/>
        <v>0.99940016370789098</v>
      </c>
    </row>
    <row r="14" spans="1:16" s="34" customFormat="1" ht="48.9" customHeight="1" x14ac:dyDescent="0.25">
      <c r="A14" s="29" t="s">
        <v>48</v>
      </c>
      <c r="B14" s="30" t="s">
        <v>39</v>
      </c>
      <c r="C14" s="30" t="s">
        <v>15</v>
      </c>
      <c r="D14" s="30" t="s">
        <v>42</v>
      </c>
      <c r="E14" s="30" t="s">
        <v>30</v>
      </c>
      <c r="F14" s="30" t="s">
        <v>45</v>
      </c>
      <c r="G14" s="30" t="s">
        <v>47</v>
      </c>
      <c r="H14" s="30" t="s">
        <v>49</v>
      </c>
      <c r="I14" s="31" t="s">
        <v>0</v>
      </c>
      <c r="J14" s="31" t="s">
        <v>0</v>
      </c>
      <c r="K14" s="31" t="s">
        <v>0</v>
      </c>
      <c r="L14" s="31" t="s">
        <v>0</v>
      </c>
      <c r="M14" s="32">
        <f t="shared" si="1"/>
        <v>412772356.82000005</v>
      </c>
      <c r="N14" s="32">
        <f t="shared" si="1"/>
        <v>412524760.98000002</v>
      </c>
      <c r="O14" s="32">
        <f t="shared" si="1"/>
        <v>412524760.98000002</v>
      </c>
      <c r="P14" s="33">
        <f t="shared" si="2"/>
        <v>0.99940016370789098</v>
      </c>
    </row>
    <row r="15" spans="1:16" s="34" customFormat="1" ht="64.5" customHeight="1" x14ac:dyDescent="0.25">
      <c r="A15" s="29" t="s">
        <v>35</v>
      </c>
      <c r="B15" s="30" t="s">
        <v>39</v>
      </c>
      <c r="C15" s="30" t="s">
        <v>15</v>
      </c>
      <c r="D15" s="30" t="s">
        <v>42</v>
      </c>
      <c r="E15" s="30" t="s">
        <v>30</v>
      </c>
      <c r="F15" s="30" t="s">
        <v>45</v>
      </c>
      <c r="G15" s="30" t="s">
        <v>47</v>
      </c>
      <c r="H15" s="30" t="s">
        <v>49</v>
      </c>
      <c r="I15" s="30" t="s">
        <v>36</v>
      </c>
      <c r="J15" s="30" t="s">
        <v>0</v>
      </c>
      <c r="K15" s="30" t="s">
        <v>0</v>
      </c>
      <c r="L15" s="30" t="s">
        <v>0</v>
      </c>
      <c r="M15" s="32">
        <f>M16+M17+M18</f>
        <v>412772356.82000005</v>
      </c>
      <c r="N15" s="32">
        <f t="shared" ref="N15:O15" si="3">N16+N17+N18</f>
        <v>412524760.98000002</v>
      </c>
      <c r="O15" s="32">
        <f t="shared" si="3"/>
        <v>412524760.98000002</v>
      </c>
      <c r="P15" s="33">
        <f t="shared" si="2"/>
        <v>0.99940016370789098</v>
      </c>
    </row>
    <row r="16" spans="1:16" ht="80.099999999999994" customHeight="1" x14ac:dyDescent="0.25">
      <c r="A16" s="18" t="s">
        <v>50</v>
      </c>
      <c r="B16" s="19" t="s">
        <v>39</v>
      </c>
      <c r="C16" s="19" t="s">
        <v>15</v>
      </c>
      <c r="D16" s="19" t="s">
        <v>42</v>
      </c>
      <c r="E16" s="19" t="s">
        <v>30</v>
      </c>
      <c r="F16" s="19" t="s">
        <v>45</v>
      </c>
      <c r="G16" s="19" t="s">
        <v>47</v>
      </c>
      <c r="H16" s="19" t="s">
        <v>49</v>
      </c>
      <c r="I16" s="19" t="s">
        <v>36</v>
      </c>
      <c r="J16" s="21" t="s">
        <v>51</v>
      </c>
      <c r="K16" s="21" t="s">
        <v>52</v>
      </c>
      <c r="L16" s="21" t="s">
        <v>53</v>
      </c>
      <c r="M16" s="17">
        <f>91230914-623270.85-0.41</f>
        <v>90607642.74000001</v>
      </c>
      <c r="N16" s="17">
        <v>90607642.739999995</v>
      </c>
      <c r="O16" s="17">
        <v>90607642.739999995</v>
      </c>
      <c r="P16" s="28">
        <f t="shared" si="2"/>
        <v>0.99999999999999989</v>
      </c>
    </row>
    <row r="17" spans="1:16" ht="96.6" customHeight="1" x14ac:dyDescent="0.25">
      <c r="A17" s="18" t="s">
        <v>54</v>
      </c>
      <c r="B17" s="19" t="s">
        <v>39</v>
      </c>
      <c r="C17" s="19" t="s">
        <v>15</v>
      </c>
      <c r="D17" s="19" t="s">
        <v>42</v>
      </c>
      <c r="E17" s="19" t="s">
        <v>30</v>
      </c>
      <c r="F17" s="19" t="s">
        <v>45</v>
      </c>
      <c r="G17" s="19" t="s">
        <v>47</v>
      </c>
      <c r="H17" s="19" t="s">
        <v>49</v>
      </c>
      <c r="I17" s="19" t="s">
        <v>36</v>
      </c>
      <c r="J17" s="21" t="s">
        <v>51</v>
      </c>
      <c r="K17" s="21" t="s">
        <v>55</v>
      </c>
      <c r="L17" s="21" t="s">
        <v>53</v>
      </c>
      <c r="M17" s="17">
        <f>153454215+90000-289549.88</f>
        <v>153254665.12</v>
      </c>
      <c r="N17" s="17">
        <v>153007069.28</v>
      </c>
      <c r="O17" s="17">
        <v>153007069.28</v>
      </c>
      <c r="P17" s="28">
        <f t="shared" si="2"/>
        <v>0.99838441564042346</v>
      </c>
    </row>
    <row r="18" spans="1:16" ht="80.099999999999994" customHeight="1" x14ac:dyDescent="0.25">
      <c r="A18" s="18" t="s">
        <v>56</v>
      </c>
      <c r="B18" s="19" t="s">
        <v>39</v>
      </c>
      <c r="C18" s="19" t="s">
        <v>15</v>
      </c>
      <c r="D18" s="19" t="s">
        <v>42</v>
      </c>
      <c r="E18" s="19" t="s">
        <v>30</v>
      </c>
      <c r="F18" s="19" t="s">
        <v>45</v>
      </c>
      <c r="G18" s="19" t="s">
        <v>47</v>
      </c>
      <c r="H18" s="19" t="s">
        <v>49</v>
      </c>
      <c r="I18" s="19" t="s">
        <v>36</v>
      </c>
      <c r="J18" s="21" t="s">
        <v>51</v>
      </c>
      <c r="K18" s="21" t="s">
        <v>57</v>
      </c>
      <c r="L18" s="21" t="s">
        <v>53</v>
      </c>
      <c r="M18" s="17">
        <f>169028128-118079.04</f>
        <v>168910048.96000001</v>
      </c>
      <c r="N18" s="17">
        <v>168910048.96000001</v>
      </c>
      <c r="O18" s="17">
        <v>168910048.96000001</v>
      </c>
      <c r="P18" s="28">
        <f t="shared" si="2"/>
        <v>1</v>
      </c>
    </row>
    <row r="19" spans="1:16" s="34" customFormat="1" ht="64.5" customHeight="1" x14ac:dyDescent="0.25">
      <c r="A19" s="29" t="s">
        <v>58</v>
      </c>
      <c r="B19" s="30" t="s">
        <v>24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1" t="s">
        <v>0</v>
      </c>
      <c r="I19" s="31" t="s">
        <v>0</v>
      </c>
      <c r="J19" s="31" t="s">
        <v>0</v>
      </c>
      <c r="K19" s="31" t="s">
        <v>0</v>
      </c>
      <c r="L19" s="31" t="s">
        <v>0</v>
      </c>
      <c r="M19" s="32">
        <f t="shared" ref="M19:O25" si="4">M20</f>
        <v>304224683.22000003</v>
      </c>
      <c r="N19" s="32">
        <f t="shared" si="4"/>
        <v>168262077.09999999</v>
      </c>
      <c r="O19" s="32">
        <f t="shared" si="4"/>
        <v>303907904.19</v>
      </c>
      <c r="P19" s="33">
        <f t="shared" si="2"/>
        <v>0.99895873330642615</v>
      </c>
    </row>
    <row r="20" spans="1:16" s="34" customFormat="1" ht="64.5" customHeight="1" x14ac:dyDescent="0.25">
      <c r="A20" s="29" t="s">
        <v>59</v>
      </c>
      <c r="B20" s="30" t="s">
        <v>24</v>
      </c>
      <c r="C20" s="30" t="s">
        <v>28</v>
      </c>
      <c r="D20" s="30" t="s">
        <v>24</v>
      </c>
      <c r="E20" s="30" t="s">
        <v>0</v>
      </c>
      <c r="F20" s="30" t="s">
        <v>0</v>
      </c>
      <c r="G20" s="30" t="s">
        <v>0</v>
      </c>
      <c r="H20" s="31" t="s">
        <v>0</v>
      </c>
      <c r="I20" s="31" t="s">
        <v>0</v>
      </c>
      <c r="J20" s="31" t="s">
        <v>0</v>
      </c>
      <c r="K20" s="31" t="s">
        <v>0</v>
      </c>
      <c r="L20" s="31" t="s">
        <v>0</v>
      </c>
      <c r="M20" s="32">
        <f t="shared" si="4"/>
        <v>304224683.22000003</v>
      </c>
      <c r="N20" s="32">
        <f t="shared" si="4"/>
        <v>168262077.09999999</v>
      </c>
      <c r="O20" s="32">
        <f t="shared" si="4"/>
        <v>303907904.19</v>
      </c>
      <c r="P20" s="33">
        <f t="shared" si="2"/>
        <v>0.99895873330642615</v>
      </c>
    </row>
    <row r="21" spans="1:16" s="34" customFormat="1" ht="64.5" customHeight="1" x14ac:dyDescent="0.25">
      <c r="A21" s="29" t="s">
        <v>60</v>
      </c>
      <c r="B21" s="30" t="s">
        <v>24</v>
      </c>
      <c r="C21" s="30" t="s">
        <v>28</v>
      </c>
      <c r="D21" s="30" t="s">
        <v>24</v>
      </c>
      <c r="E21" s="30" t="s">
        <v>61</v>
      </c>
      <c r="F21" s="30" t="s">
        <v>0</v>
      </c>
      <c r="G21" s="30" t="s">
        <v>0</v>
      </c>
      <c r="H21" s="31" t="s">
        <v>0</v>
      </c>
      <c r="I21" s="31" t="s">
        <v>0</v>
      </c>
      <c r="J21" s="31" t="s">
        <v>0</v>
      </c>
      <c r="K21" s="31" t="s">
        <v>0</v>
      </c>
      <c r="L21" s="31" t="s">
        <v>0</v>
      </c>
      <c r="M21" s="32">
        <f t="shared" si="4"/>
        <v>304224683.22000003</v>
      </c>
      <c r="N21" s="32">
        <f t="shared" si="4"/>
        <v>168262077.09999999</v>
      </c>
      <c r="O21" s="32">
        <f t="shared" si="4"/>
        <v>303907904.19</v>
      </c>
      <c r="P21" s="33">
        <f t="shared" si="2"/>
        <v>0.99895873330642615</v>
      </c>
    </row>
    <row r="22" spans="1:16" s="34" customFormat="1" ht="64.5" customHeight="1" x14ac:dyDescent="0.25">
      <c r="A22" s="29" t="s">
        <v>62</v>
      </c>
      <c r="B22" s="30" t="s">
        <v>24</v>
      </c>
      <c r="C22" s="30" t="s">
        <v>28</v>
      </c>
      <c r="D22" s="30" t="s">
        <v>24</v>
      </c>
      <c r="E22" s="30" t="s">
        <v>61</v>
      </c>
      <c r="F22" s="30" t="s">
        <v>0</v>
      </c>
      <c r="G22" s="30" t="s">
        <v>0</v>
      </c>
      <c r="H22" s="31" t="s">
        <v>0</v>
      </c>
      <c r="I22" s="31" t="s">
        <v>0</v>
      </c>
      <c r="J22" s="31" t="s">
        <v>0</v>
      </c>
      <c r="K22" s="31" t="s">
        <v>0</v>
      </c>
      <c r="L22" s="31" t="s">
        <v>0</v>
      </c>
      <c r="M22" s="32">
        <f t="shared" si="4"/>
        <v>304224683.22000003</v>
      </c>
      <c r="N22" s="32">
        <f t="shared" si="4"/>
        <v>168262077.09999999</v>
      </c>
      <c r="O22" s="32">
        <f t="shared" si="4"/>
        <v>303907904.19</v>
      </c>
      <c r="P22" s="33">
        <f t="shared" si="2"/>
        <v>0.99895873330642615</v>
      </c>
    </row>
    <row r="23" spans="1:16" s="34" customFormat="1" ht="15" customHeight="1" x14ac:dyDescent="0.25">
      <c r="A23" s="35" t="s">
        <v>63</v>
      </c>
      <c r="B23" s="30" t="s">
        <v>24</v>
      </c>
      <c r="C23" s="30" t="s">
        <v>28</v>
      </c>
      <c r="D23" s="30" t="s">
        <v>24</v>
      </c>
      <c r="E23" s="30" t="s">
        <v>61</v>
      </c>
      <c r="F23" s="30" t="s">
        <v>64</v>
      </c>
      <c r="G23" s="30" t="s">
        <v>0</v>
      </c>
      <c r="H23" s="30" t="s">
        <v>0</v>
      </c>
      <c r="I23" s="30" t="s">
        <v>0</v>
      </c>
      <c r="J23" s="30" t="s">
        <v>0</v>
      </c>
      <c r="K23" s="30" t="s">
        <v>0</v>
      </c>
      <c r="L23" s="30" t="s">
        <v>0</v>
      </c>
      <c r="M23" s="32">
        <f t="shared" si="4"/>
        <v>304224683.22000003</v>
      </c>
      <c r="N23" s="32">
        <f t="shared" si="4"/>
        <v>168262077.09999999</v>
      </c>
      <c r="O23" s="32">
        <f t="shared" si="4"/>
        <v>303907904.19</v>
      </c>
      <c r="P23" s="33">
        <f t="shared" si="2"/>
        <v>0.99895873330642615</v>
      </c>
    </row>
    <row r="24" spans="1:16" s="34" customFormat="1" ht="15" customHeight="1" x14ac:dyDescent="0.25">
      <c r="A24" s="35" t="s">
        <v>65</v>
      </c>
      <c r="B24" s="30" t="s">
        <v>24</v>
      </c>
      <c r="C24" s="30" t="s">
        <v>28</v>
      </c>
      <c r="D24" s="30" t="s">
        <v>24</v>
      </c>
      <c r="E24" s="30" t="s">
        <v>61</v>
      </c>
      <c r="F24" s="30" t="s">
        <v>64</v>
      </c>
      <c r="G24" s="30" t="s">
        <v>27</v>
      </c>
      <c r="H24" s="30" t="s">
        <v>0</v>
      </c>
      <c r="I24" s="30" t="s">
        <v>0</v>
      </c>
      <c r="J24" s="30" t="s">
        <v>0</v>
      </c>
      <c r="K24" s="30" t="s">
        <v>0</v>
      </c>
      <c r="L24" s="30" t="s">
        <v>0</v>
      </c>
      <c r="M24" s="32">
        <f t="shared" si="4"/>
        <v>304224683.22000003</v>
      </c>
      <c r="N24" s="32">
        <f t="shared" si="4"/>
        <v>168262077.09999999</v>
      </c>
      <c r="O24" s="32">
        <f t="shared" si="4"/>
        <v>303907904.19</v>
      </c>
      <c r="P24" s="33">
        <f t="shared" si="2"/>
        <v>0.99895873330642615</v>
      </c>
    </row>
    <row r="25" spans="1:16" s="34" customFormat="1" ht="48.9" customHeight="1" x14ac:dyDescent="0.25">
      <c r="A25" s="29" t="s">
        <v>33</v>
      </c>
      <c r="B25" s="30" t="s">
        <v>24</v>
      </c>
      <c r="C25" s="30" t="s">
        <v>28</v>
      </c>
      <c r="D25" s="30" t="s">
        <v>24</v>
      </c>
      <c r="E25" s="30" t="s">
        <v>61</v>
      </c>
      <c r="F25" s="30" t="s">
        <v>64</v>
      </c>
      <c r="G25" s="30" t="s">
        <v>27</v>
      </c>
      <c r="H25" s="30" t="s">
        <v>34</v>
      </c>
      <c r="I25" s="31" t="s">
        <v>0</v>
      </c>
      <c r="J25" s="31" t="s">
        <v>0</v>
      </c>
      <c r="K25" s="31" t="s">
        <v>0</v>
      </c>
      <c r="L25" s="31" t="s">
        <v>0</v>
      </c>
      <c r="M25" s="32">
        <f t="shared" si="4"/>
        <v>304224683.22000003</v>
      </c>
      <c r="N25" s="32">
        <f t="shared" si="4"/>
        <v>168262077.09999999</v>
      </c>
      <c r="O25" s="32">
        <f t="shared" si="4"/>
        <v>303907904.19</v>
      </c>
      <c r="P25" s="33">
        <f t="shared" si="2"/>
        <v>0.99895873330642615</v>
      </c>
    </row>
    <row r="26" spans="1:16" s="34" customFormat="1" ht="112.35" customHeight="1" x14ac:dyDescent="0.25">
      <c r="A26" s="29" t="s">
        <v>66</v>
      </c>
      <c r="B26" s="30" t="s">
        <v>24</v>
      </c>
      <c r="C26" s="30" t="s">
        <v>28</v>
      </c>
      <c r="D26" s="30" t="s">
        <v>24</v>
      </c>
      <c r="E26" s="30" t="s">
        <v>61</v>
      </c>
      <c r="F26" s="30" t="s">
        <v>64</v>
      </c>
      <c r="G26" s="30" t="s">
        <v>27</v>
      </c>
      <c r="H26" s="30" t="s">
        <v>34</v>
      </c>
      <c r="I26" s="30" t="s">
        <v>67</v>
      </c>
      <c r="J26" s="30" t="s">
        <v>0</v>
      </c>
      <c r="K26" s="30" t="s">
        <v>0</v>
      </c>
      <c r="L26" s="30" t="s">
        <v>0</v>
      </c>
      <c r="M26" s="32">
        <f>M27+M28+M29+M30+M31+M32+M33+M34</f>
        <v>304224683.22000003</v>
      </c>
      <c r="N26" s="32">
        <f t="shared" ref="N26:O26" si="5">N27+N28+N29+N30+N31+N32+N33+N34</f>
        <v>168262077.09999999</v>
      </c>
      <c r="O26" s="32">
        <f t="shared" si="5"/>
        <v>303907904.19</v>
      </c>
      <c r="P26" s="33">
        <f t="shared" si="2"/>
        <v>0.99895873330642615</v>
      </c>
    </row>
    <row r="27" spans="1:16" ht="78" x14ac:dyDescent="0.25">
      <c r="A27" s="18" t="s">
        <v>352</v>
      </c>
      <c r="B27" s="19" t="s">
        <v>24</v>
      </c>
      <c r="C27" s="19" t="s">
        <v>28</v>
      </c>
      <c r="D27" s="19" t="s">
        <v>24</v>
      </c>
      <c r="E27" s="19" t="s">
        <v>61</v>
      </c>
      <c r="F27" s="19" t="s">
        <v>64</v>
      </c>
      <c r="G27" s="19" t="s">
        <v>27</v>
      </c>
      <c r="H27" s="19" t="s">
        <v>34</v>
      </c>
      <c r="I27" s="19" t="s">
        <v>67</v>
      </c>
      <c r="J27" s="21" t="s">
        <v>68</v>
      </c>
      <c r="K27" s="21">
        <v>30</v>
      </c>
      <c r="L27" s="21">
        <v>2020</v>
      </c>
      <c r="M27" s="17">
        <v>124033411.12</v>
      </c>
      <c r="N27" s="17">
        <v>22008369.989999998</v>
      </c>
      <c r="O27" s="17">
        <v>124033411.12</v>
      </c>
      <c r="P27" s="28">
        <f t="shared" si="2"/>
        <v>1</v>
      </c>
    </row>
    <row r="28" spans="1:16" ht="78" x14ac:dyDescent="0.25">
      <c r="A28" s="18" t="s">
        <v>353</v>
      </c>
      <c r="B28" s="19" t="s">
        <v>24</v>
      </c>
      <c r="C28" s="19" t="s">
        <v>28</v>
      </c>
      <c r="D28" s="19" t="s">
        <v>24</v>
      </c>
      <c r="E28" s="19" t="s">
        <v>61</v>
      </c>
      <c r="F28" s="19" t="s">
        <v>64</v>
      </c>
      <c r="G28" s="19" t="s">
        <v>27</v>
      </c>
      <c r="H28" s="19" t="s">
        <v>34</v>
      </c>
      <c r="I28" s="19" t="s">
        <v>67</v>
      </c>
      <c r="J28" s="21" t="s">
        <v>68</v>
      </c>
      <c r="K28" s="21">
        <v>22</v>
      </c>
      <c r="L28" s="21">
        <v>2020</v>
      </c>
      <c r="M28" s="17">
        <v>137951535.71000001</v>
      </c>
      <c r="N28" s="17">
        <v>127653304.92</v>
      </c>
      <c r="O28" s="17">
        <v>137951535.71000001</v>
      </c>
      <c r="P28" s="28">
        <f t="shared" si="2"/>
        <v>1</v>
      </c>
    </row>
    <row r="29" spans="1:16" s="8" customFormat="1" ht="93.6" x14ac:dyDescent="0.25">
      <c r="A29" s="2" t="s">
        <v>376</v>
      </c>
      <c r="B29" s="3" t="s">
        <v>24</v>
      </c>
      <c r="C29" s="3" t="s">
        <v>28</v>
      </c>
      <c r="D29" s="3" t="s">
        <v>24</v>
      </c>
      <c r="E29" s="3" t="s">
        <v>61</v>
      </c>
      <c r="F29" s="3" t="s">
        <v>64</v>
      </c>
      <c r="G29" s="3" t="s">
        <v>27</v>
      </c>
      <c r="H29" s="3" t="s">
        <v>34</v>
      </c>
      <c r="I29" s="3" t="s">
        <v>67</v>
      </c>
      <c r="J29" s="4" t="s">
        <v>51</v>
      </c>
      <c r="K29" s="5">
        <v>0.26219999999999999</v>
      </c>
      <c r="L29" s="6">
        <v>2020</v>
      </c>
      <c r="M29" s="7">
        <v>3450762.31</v>
      </c>
      <c r="N29" s="7">
        <v>3133983.28</v>
      </c>
      <c r="O29" s="7">
        <v>3133983.28</v>
      </c>
      <c r="P29" s="28">
        <f t="shared" si="2"/>
        <v>0.90820027531829617</v>
      </c>
    </row>
    <row r="30" spans="1:16" s="8" customFormat="1" ht="93.6" x14ac:dyDescent="0.25">
      <c r="A30" s="9" t="s">
        <v>377</v>
      </c>
      <c r="B30" s="3" t="s">
        <v>24</v>
      </c>
      <c r="C30" s="3" t="s">
        <v>28</v>
      </c>
      <c r="D30" s="3" t="s">
        <v>24</v>
      </c>
      <c r="E30" s="3" t="s">
        <v>61</v>
      </c>
      <c r="F30" s="3" t="s">
        <v>64</v>
      </c>
      <c r="G30" s="3" t="s">
        <v>27</v>
      </c>
      <c r="H30" s="3" t="s">
        <v>34</v>
      </c>
      <c r="I30" s="3" t="s">
        <v>67</v>
      </c>
      <c r="J30" s="4" t="s">
        <v>51</v>
      </c>
      <c r="K30" s="5">
        <v>0.24859999999999999</v>
      </c>
      <c r="L30" s="6">
        <v>2020</v>
      </c>
      <c r="M30" s="7">
        <v>6381425.6900000004</v>
      </c>
      <c r="N30" s="7">
        <v>1086296.5</v>
      </c>
      <c r="O30" s="7">
        <v>6381425.6900000004</v>
      </c>
      <c r="P30" s="28">
        <f t="shared" si="2"/>
        <v>1</v>
      </c>
    </row>
    <row r="31" spans="1:16" s="8" customFormat="1" ht="93.6" x14ac:dyDescent="0.25">
      <c r="A31" s="9" t="s">
        <v>378</v>
      </c>
      <c r="B31" s="3" t="s">
        <v>24</v>
      </c>
      <c r="C31" s="3" t="s">
        <v>28</v>
      </c>
      <c r="D31" s="3" t="s">
        <v>24</v>
      </c>
      <c r="E31" s="3" t="s">
        <v>61</v>
      </c>
      <c r="F31" s="3" t="s">
        <v>64</v>
      </c>
      <c r="G31" s="3" t="s">
        <v>27</v>
      </c>
      <c r="H31" s="3" t="s">
        <v>34</v>
      </c>
      <c r="I31" s="3" t="s">
        <v>67</v>
      </c>
      <c r="J31" s="4" t="s">
        <v>51</v>
      </c>
      <c r="K31" s="5">
        <v>0.1178</v>
      </c>
      <c r="L31" s="6">
        <v>2020</v>
      </c>
      <c r="M31" s="7">
        <v>3555622.82</v>
      </c>
      <c r="N31" s="7">
        <v>2522752.4</v>
      </c>
      <c r="O31" s="7">
        <v>3555622.82</v>
      </c>
      <c r="P31" s="28">
        <f t="shared" si="2"/>
        <v>1</v>
      </c>
    </row>
    <row r="32" spans="1:16" s="8" customFormat="1" ht="46.8" x14ac:dyDescent="0.25">
      <c r="A32" s="9" t="s">
        <v>379</v>
      </c>
      <c r="B32" s="3" t="s">
        <v>24</v>
      </c>
      <c r="C32" s="3" t="s">
        <v>28</v>
      </c>
      <c r="D32" s="3" t="s">
        <v>24</v>
      </c>
      <c r="E32" s="3" t="s">
        <v>61</v>
      </c>
      <c r="F32" s="3" t="s">
        <v>64</v>
      </c>
      <c r="G32" s="3" t="s">
        <v>27</v>
      </c>
      <c r="H32" s="3" t="s">
        <v>34</v>
      </c>
      <c r="I32" s="3" t="s">
        <v>67</v>
      </c>
      <c r="J32" s="6" t="s">
        <v>68</v>
      </c>
      <c r="K32" s="10">
        <v>0.6</v>
      </c>
      <c r="L32" s="6">
        <v>2020</v>
      </c>
      <c r="M32" s="7">
        <v>13581952.33</v>
      </c>
      <c r="N32" s="7">
        <v>0</v>
      </c>
      <c r="O32" s="7">
        <v>13581952.33</v>
      </c>
      <c r="P32" s="28">
        <f t="shared" si="2"/>
        <v>1</v>
      </c>
    </row>
    <row r="33" spans="1:16" s="8" customFormat="1" ht="46.8" x14ac:dyDescent="0.25">
      <c r="A33" s="9" t="s">
        <v>380</v>
      </c>
      <c r="B33" s="3" t="s">
        <v>24</v>
      </c>
      <c r="C33" s="3" t="s">
        <v>28</v>
      </c>
      <c r="D33" s="3" t="s">
        <v>24</v>
      </c>
      <c r="E33" s="3" t="s">
        <v>61</v>
      </c>
      <c r="F33" s="3" t="s">
        <v>64</v>
      </c>
      <c r="G33" s="3" t="s">
        <v>27</v>
      </c>
      <c r="H33" s="3" t="s">
        <v>34</v>
      </c>
      <c r="I33" s="3" t="s">
        <v>67</v>
      </c>
      <c r="J33" s="6" t="s">
        <v>68</v>
      </c>
      <c r="K33" s="10">
        <v>0.24</v>
      </c>
      <c r="L33" s="6">
        <v>2020</v>
      </c>
      <c r="M33" s="7">
        <v>6661642.5999999996</v>
      </c>
      <c r="N33" s="7">
        <v>4961966.57</v>
      </c>
      <c r="O33" s="7">
        <v>6661642.5999999996</v>
      </c>
      <c r="P33" s="28">
        <f t="shared" si="2"/>
        <v>1</v>
      </c>
    </row>
    <row r="34" spans="1:16" s="8" customFormat="1" ht="66.75" customHeight="1" x14ac:dyDescent="0.25">
      <c r="A34" s="9" t="s">
        <v>381</v>
      </c>
      <c r="B34" s="3" t="s">
        <v>24</v>
      </c>
      <c r="C34" s="3" t="s">
        <v>28</v>
      </c>
      <c r="D34" s="3" t="s">
        <v>24</v>
      </c>
      <c r="E34" s="3" t="s">
        <v>61</v>
      </c>
      <c r="F34" s="3" t="s">
        <v>64</v>
      </c>
      <c r="G34" s="3" t="s">
        <v>27</v>
      </c>
      <c r="H34" s="3" t="s">
        <v>34</v>
      </c>
      <c r="I34" s="3" t="s">
        <v>67</v>
      </c>
      <c r="J34" s="6" t="s">
        <v>68</v>
      </c>
      <c r="K34" s="10">
        <v>1.26</v>
      </c>
      <c r="L34" s="6">
        <v>2020</v>
      </c>
      <c r="M34" s="7">
        <v>8608330.6400000006</v>
      </c>
      <c r="N34" s="7">
        <v>6895403.4400000004</v>
      </c>
      <c r="O34" s="7">
        <v>8608330.6400000006</v>
      </c>
      <c r="P34" s="28">
        <f t="shared" si="2"/>
        <v>1</v>
      </c>
    </row>
    <row r="35" spans="1:16" s="34" customFormat="1" ht="32.25" customHeight="1" x14ac:dyDescent="0.25">
      <c r="A35" s="29" t="s">
        <v>69</v>
      </c>
      <c r="B35" s="30" t="s">
        <v>70</v>
      </c>
      <c r="C35" s="30" t="s">
        <v>0</v>
      </c>
      <c r="D35" s="30" t="s">
        <v>0</v>
      </c>
      <c r="E35" s="30" t="s">
        <v>0</v>
      </c>
      <c r="F35" s="30" t="s">
        <v>0</v>
      </c>
      <c r="G35" s="30" t="s">
        <v>0</v>
      </c>
      <c r="H35" s="31" t="s">
        <v>0</v>
      </c>
      <c r="I35" s="31" t="s">
        <v>0</v>
      </c>
      <c r="J35" s="31" t="s">
        <v>0</v>
      </c>
      <c r="K35" s="31" t="s">
        <v>0</v>
      </c>
      <c r="L35" s="31" t="s">
        <v>0</v>
      </c>
      <c r="M35" s="32">
        <f>M36+M50</f>
        <v>302300116.19</v>
      </c>
      <c r="N35" s="32">
        <f t="shared" ref="N35:O35" si="6">N36+N50</f>
        <v>297045768.81999999</v>
      </c>
      <c r="O35" s="32">
        <f t="shared" si="6"/>
        <v>297045768.81999999</v>
      </c>
      <c r="P35" s="33">
        <f t="shared" si="2"/>
        <v>0.98261877158294719</v>
      </c>
    </row>
    <row r="36" spans="1:16" s="34" customFormat="1" ht="32.25" customHeight="1" x14ac:dyDescent="0.25">
      <c r="A36" s="29" t="s">
        <v>71</v>
      </c>
      <c r="B36" s="30" t="s">
        <v>70</v>
      </c>
      <c r="C36" s="30" t="s">
        <v>28</v>
      </c>
      <c r="D36" s="30" t="s">
        <v>72</v>
      </c>
      <c r="E36" s="30" t="s">
        <v>0</v>
      </c>
      <c r="F36" s="30" t="s">
        <v>0</v>
      </c>
      <c r="G36" s="30" t="s">
        <v>0</v>
      </c>
      <c r="H36" s="31" t="s">
        <v>0</v>
      </c>
      <c r="I36" s="31" t="s">
        <v>0</v>
      </c>
      <c r="J36" s="31" t="s">
        <v>0</v>
      </c>
      <c r="K36" s="31" t="s">
        <v>0</v>
      </c>
      <c r="L36" s="31" t="s">
        <v>0</v>
      </c>
      <c r="M36" s="32">
        <f>M37</f>
        <v>250464614.74000001</v>
      </c>
      <c r="N36" s="32">
        <f t="shared" ref="N36:O38" si="7">N37</f>
        <v>246382023.68000001</v>
      </c>
      <c r="O36" s="32">
        <f t="shared" si="7"/>
        <v>246382023.68000001</v>
      </c>
      <c r="P36" s="33">
        <f t="shared" si="2"/>
        <v>0.98369992877341972</v>
      </c>
    </row>
    <row r="37" spans="1:16" s="34" customFormat="1" ht="32.25" customHeight="1" x14ac:dyDescent="0.25">
      <c r="A37" s="29" t="s">
        <v>29</v>
      </c>
      <c r="B37" s="30" t="s">
        <v>70</v>
      </c>
      <c r="C37" s="30" t="s">
        <v>28</v>
      </c>
      <c r="D37" s="30" t="s">
        <v>72</v>
      </c>
      <c r="E37" s="30" t="s">
        <v>30</v>
      </c>
      <c r="F37" s="30" t="s">
        <v>0</v>
      </c>
      <c r="G37" s="30" t="s">
        <v>0</v>
      </c>
      <c r="H37" s="31" t="s">
        <v>0</v>
      </c>
      <c r="I37" s="31" t="s">
        <v>0</v>
      </c>
      <c r="J37" s="31" t="s">
        <v>0</v>
      </c>
      <c r="K37" s="31" t="s">
        <v>0</v>
      </c>
      <c r="L37" s="31" t="s">
        <v>0</v>
      </c>
      <c r="M37" s="32">
        <f>M38</f>
        <v>250464614.74000001</v>
      </c>
      <c r="N37" s="32">
        <f t="shared" si="7"/>
        <v>246382023.68000001</v>
      </c>
      <c r="O37" s="32">
        <f t="shared" si="7"/>
        <v>246382023.68000001</v>
      </c>
      <c r="P37" s="33">
        <f t="shared" si="2"/>
        <v>0.98369992877341972</v>
      </c>
    </row>
    <row r="38" spans="1:16" s="34" customFormat="1" ht="80.099999999999994" customHeight="1" x14ac:dyDescent="0.25">
      <c r="A38" s="29" t="s">
        <v>31</v>
      </c>
      <c r="B38" s="30" t="s">
        <v>70</v>
      </c>
      <c r="C38" s="30" t="s">
        <v>28</v>
      </c>
      <c r="D38" s="30" t="s">
        <v>72</v>
      </c>
      <c r="E38" s="30" t="s">
        <v>30</v>
      </c>
      <c r="F38" s="30" t="s">
        <v>0</v>
      </c>
      <c r="G38" s="30" t="s">
        <v>0</v>
      </c>
      <c r="H38" s="31" t="s">
        <v>0</v>
      </c>
      <c r="I38" s="31" t="s">
        <v>0</v>
      </c>
      <c r="J38" s="31" t="s">
        <v>0</v>
      </c>
      <c r="K38" s="31" t="s">
        <v>0</v>
      </c>
      <c r="L38" s="31" t="s">
        <v>0</v>
      </c>
      <c r="M38" s="32">
        <f>M39</f>
        <v>250464614.74000001</v>
      </c>
      <c r="N38" s="32">
        <f t="shared" si="7"/>
        <v>246382023.68000001</v>
      </c>
      <c r="O38" s="32">
        <f t="shared" si="7"/>
        <v>246382023.68000001</v>
      </c>
      <c r="P38" s="33">
        <f t="shared" si="2"/>
        <v>0.98369992877341972</v>
      </c>
    </row>
    <row r="39" spans="1:16" s="34" customFormat="1" ht="15" customHeight="1" x14ac:dyDescent="0.25">
      <c r="A39" s="35" t="s">
        <v>73</v>
      </c>
      <c r="B39" s="30" t="s">
        <v>70</v>
      </c>
      <c r="C39" s="30" t="s">
        <v>28</v>
      </c>
      <c r="D39" s="30" t="s">
        <v>72</v>
      </c>
      <c r="E39" s="30" t="s">
        <v>30</v>
      </c>
      <c r="F39" s="30" t="s">
        <v>47</v>
      </c>
      <c r="G39" s="30" t="s">
        <v>0</v>
      </c>
      <c r="H39" s="30" t="s">
        <v>0</v>
      </c>
      <c r="I39" s="30" t="s">
        <v>0</v>
      </c>
      <c r="J39" s="30" t="s">
        <v>0</v>
      </c>
      <c r="K39" s="30" t="s">
        <v>0</v>
      </c>
      <c r="L39" s="30" t="s">
        <v>0</v>
      </c>
      <c r="M39" s="32">
        <f>M40+M46</f>
        <v>250464614.74000001</v>
      </c>
      <c r="N39" s="32">
        <f t="shared" ref="N39:O39" si="8">N40+N46</f>
        <v>246382023.68000001</v>
      </c>
      <c r="O39" s="32">
        <f t="shared" si="8"/>
        <v>246382023.68000001</v>
      </c>
      <c r="P39" s="33">
        <f t="shared" si="2"/>
        <v>0.98369992877341972</v>
      </c>
    </row>
    <row r="40" spans="1:16" s="34" customFormat="1" ht="15" customHeight="1" x14ac:dyDescent="0.25">
      <c r="A40" s="35" t="s">
        <v>74</v>
      </c>
      <c r="B40" s="30" t="s">
        <v>70</v>
      </c>
      <c r="C40" s="30" t="s">
        <v>28</v>
      </c>
      <c r="D40" s="30" t="s">
        <v>72</v>
      </c>
      <c r="E40" s="30" t="s">
        <v>30</v>
      </c>
      <c r="F40" s="30" t="s">
        <v>47</v>
      </c>
      <c r="G40" s="30" t="s">
        <v>75</v>
      </c>
      <c r="H40" s="30" t="s">
        <v>0</v>
      </c>
      <c r="I40" s="30" t="s">
        <v>0</v>
      </c>
      <c r="J40" s="30" t="s">
        <v>0</v>
      </c>
      <c r="K40" s="30" t="s">
        <v>0</v>
      </c>
      <c r="L40" s="30" t="s">
        <v>0</v>
      </c>
      <c r="M40" s="32">
        <f>M41</f>
        <v>65719267.230000004</v>
      </c>
      <c r="N40" s="32">
        <f t="shared" ref="N40:O41" si="9">N41</f>
        <v>61636676.170000002</v>
      </c>
      <c r="O40" s="32">
        <f t="shared" si="9"/>
        <v>61636676.170000002</v>
      </c>
      <c r="P40" s="33">
        <f t="shared" si="2"/>
        <v>0.93787832347990097</v>
      </c>
    </row>
    <row r="41" spans="1:16" s="34" customFormat="1" ht="48.9" customHeight="1" x14ac:dyDescent="0.25">
      <c r="A41" s="29" t="s">
        <v>33</v>
      </c>
      <c r="B41" s="30" t="s">
        <v>70</v>
      </c>
      <c r="C41" s="30" t="s">
        <v>28</v>
      </c>
      <c r="D41" s="30" t="s">
        <v>72</v>
      </c>
      <c r="E41" s="30" t="s">
        <v>30</v>
      </c>
      <c r="F41" s="30" t="s">
        <v>47</v>
      </c>
      <c r="G41" s="30" t="s">
        <v>75</v>
      </c>
      <c r="H41" s="30" t="s">
        <v>34</v>
      </c>
      <c r="I41" s="31" t="s">
        <v>0</v>
      </c>
      <c r="J41" s="31" t="s">
        <v>0</v>
      </c>
      <c r="K41" s="31" t="s">
        <v>0</v>
      </c>
      <c r="L41" s="31" t="s">
        <v>0</v>
      </c>
      <c r="M41" s="32">
        <f>M42</f>
        <v>65719267.230000004</v>
      </c>
      <c r="N41" s="32">
        <f t="shared" si="9"/>
        <v>61636676.170000002</v>
      </c>
      <c r="O41" s="32">
        <f t="shared" si="9"/>
        <v>61636676.170000002</v>
      </c>
      <c r="P41" s="33">
        <f t="shared" si="2"/>
        <v>0.93787832347990097</v>
      </c>
    </row>
    <row r="42" spans="1:16" s="34" customFormat="1" ht="64.5" customHeight="1" x14ac:dyDescent="0.25">
      <c r="A42" s="29" t="s">
        <v>35</v>
      </c>
      <c r="B42" s="30" t="s">
        <v>70</v>
      </c>
      <c r="C42" s="30" t="s">
        <v>28</v>
      </c>
      <c r="D42" s="30" t="s">
        <v>72</v>
      </c>
      <c r="E42" s="30" t="s">
        <v>30</v>
      </c>
      <c r="F42" s="30" t="s">
        <v>47</v>
      </c>
      <c r="G42" s="30" t="s">
        <v>75</v>
      </c>
      <c r="H42" s="30" t="s">
        <v>34</v>
      </c>
      <c r="I42" s="30" t="s">
        <v>36</v>
      </c>
      <c r="J42" s="30" t="s">
        <v>0</v>
      </c>
      <c r="K42" s="30" t="s">
        <v>0</v>
      </c>
      <c r="L42" s="30" t="s">
        <v>0</v>
      </c>
      <c r="M42" s="32">
        <f>M43+M44+M45</f>
        <v>65719267.230000004</v>
      </c>
      <c r="N42" s="32">
        <f t="shared" ref="N42:O42" si="10">N43+N44+N45</f>
        <v>61636676.170000002</v>
      </c>
      <c r="O42" s="32">
        <f t="shared" si="10"/>
        <v>61636676.170000002</v>
      </c>
      <c r="P42" s="33">
        <f t="shared" si="2"/>
        <v>0.93787832347990097</v>
      </c>
    </row>
    <row r="43" spans="1:16" ht="48.9" customHeight="1" x14ac:dyDescent="0.25">
      <c r="A43" s="18" t="s">
        <v>76</v>
      </c>
      <c r="B43" s="19" t="s">
        <v>70</v>
      </c>
      <c r="C43" s="19" t="s">
        <v>28</v>
      </c>
      <c r="D43" s="19" t="s">
        <v>72</v>
      </c>
      <c r="E43" s="19" t="s">
        <v>30</v>
      </c>
      <c r="F43" s="19" t="s">
        <v>47</v>
      </c>
      <c r="G43" s="19" t="s">
        <v>75</v>
      </c>
      <c r="H43" s="19" t="s">
        <v>34</v>
      </c>
      <c r="I43" s="19" t="s">
        <v>36</v>
      </c>
      <c r="J43" s="21" t="s">
        <v>77</v>
      </c>
      <c r="K43" s="21" t="s">
        <v>78</v>
      </c>
      <c r="L43" s="21" t="s">
        <v>79</v>
      </c>
      <c r="M43" s="17">
        <f>30417499.18+21993287.25-16803895.2-607624+8000000</f>
        <v>42999267.230000004</v>
      </c>
      <c r="N43" s="17">
        <v>42999267.229999997</v>
      </c>
      <c r="O43" s="17">
        <v>42999267.229999997</v>
      </c>
      <c r="P43" s="28">
        <f t="shared" si="2"/>
        <v>0.99999999999999978</v>
      </c>
    </row>
    <row r="44" spans="1:16" ht="48.9" customHeight="1" x14ac:dyDescent="0.25">
      <c r="A44" s="18" t="s">
        <v>83</v>
      </c>
      <c r="B44" s="19" t="s">
        <v>70</v>
      </c>
      <c r="C44" s="19" t="s">
        <v>28</v>
      </c>
      <c r="D44" s="19" t="s">
        <v>72</v>
      </c>
      <c r="E44" s="19" t="s">
        <v>30</v>
      </c>
      <c r="F44" s="19" t="s">
        <v>47</v>
      </c>
      <c r="G44" s="19" t="s">
        <v>75</v>
      </c>
      <c r="H44" s="19" t="s">
        <v>34</v>
      </c>
      <c r="I44" s="19" t="s">
        <v>36</v>
      </c>
      <c r="J44" s="21" t="s">
        <v>84</v>
      </c>
      <c r="K44" s="21" t="s">
        <v>85</v>
      </c>
      <c r="L44" s="21">
        <v>2020</v>
      </c>
      <c r="M44" s="17">
        <f>1000000+19000000-600004+2720000</f>
        <v>22119996</v>
      </c>
      <c r="N44" s="17">
        <v>18037404.940000001</v>
      </c>
      <c r="O44" s="17">
        <v>18037404.940000001</v>
      </c>
      <c r="P44" s="28">
        <f t="shared" si="2"/>
        <v>0.81543436716715512</v>
      </c>
    </row>
    <row r="45" spans="1:16" ht="64.5" customHeight="1" x14ac:dyDescent="0.25">
      <c r="A45" s="18" t="s">
        <v>81</v>
      </c>
      <c r="B45" s="19" t="s">
        <v>70</v>
      </c>
      <c r="C45" s="19" t="s">
        <v>28</v>
      </c>
      <c r="D45" s="19" t="s">
        <v>72</v>
      </c>
      <c r="E45" s="19" t="s">
        <v>30</v>
      </c>
      <c r="F45" s="19" t="s">
        <v>47</v>
      </c>
      <c r="G45" s="19" t="s">
        <v>75</v>
      </c>
      <c r="H45" s="19" t="s">
        <v>34</v>
      </c>
      <c r="I45" s="19" t="s">
        <v>36</v>
      </c>
      <c r="J45" s="21" t="s">
        <v>80</v>
      </c>
      <c r="K45" s="21" t="s">
        <v>82</v>
      </c>
      <c r="L45" s="21" t="s">
        <v>37</v>
      </c>
      <c r="M45" s="17">
        <v>600004</v>
      </c>
      <c r="N45" s="17">
        <v>600004</v>
      </c>
      <c r="O45" s="17">
        <v>600004</v>
      </c>
      <c r="P45" s="28">
        <f t="shared" si="2"/>
        <v>1</v>
      </c>
    </row>
    <row r="46" spans="1:16" s="34" customFormat="1" ht="15" customHeight="1" x14ac:dyDescent="0.25">
      <c r="A46" s="35" t="s">
        <v>87</v>
      </c>
      <c r="B46" s="30" t="s">
        <v>70</v>
      </c>
      <c r="C46" s="30" t="s">
        <v>28</v>
      </c>
      <c r="D46" s="30" t="s">
        <v>72</v>
      </c>
      <c r="E46" s="30" t="s">
        <v>30</v>
      </c>
      <c r="F46" s="30" t="s">
        <v>47</v>
      </c>
      <c r="G46" s="30" t="s">
        <v>27</v>
      </c>
      <c r="H46" s="30" t="s">
        <v>0</v>
      </c>
      <c r="I46" s="30" t="s">
        <v>0</v>
      </c>
      <c r="J46" s="30" t="s">
        <v>0</v>
      </c>
      <c r="K46" s="30" t="s">
        <v>0</v>
      </c>
      <c r="L46" s="30" t="s">
        <v>0</v>
      </c>
      <c r="M46" s="32">
        <f>M47</f>
        <v>184745347.50999999</v>
      </c>
      <c r="N46" s="32">
        <f t="shared" ref="N46:O48" si="11">N47</f>
        <v>184745347.50999999</v>
      </c>
      <c r="O46" s="32">
        <f t="shared" si="11"/>
        <v>184745347.50999999</v>
      </c>
      <c r="P46" s="33">
        <f t="shared" si="2"/>
        <v>1</v>
      </c>
    </row>
    <row r="47" spans="1:16" s="34" customFormat="1" ht="48.9" customHeight="1" x14ac:dyDescent="0.25">
      <c r="A47" s="29" t="s">
        <v>33</v>
      </c>
      <c r="B47" s="30" t="s">
        <v>70</v>
      </c>
      <c r="C47" s="30" t="s">
        <v>28</v>
      </c>
      <c r="D47" s="30" t="s">
        <v>72</v>
      </c>
      <c r="E47" s="30" t="s">
        <v>30</v>
      </c>
      <c r="F47" s="30" t="s">
        <v>47</v>
      </c>
      <c r="G47" s="30" t="s">
        <v>27</v>
      </c>
      <c r="H47" s="30" t="s">
        <v>34</v>
      </c>
      <c r="I47" s="31" t="s">
        <v>0</v>
      </c>
      <c r="J47" s="31" t="s">
        <v>0</v>
      </c>
      <c r="K47" s="31" t="s">
        <v>0</v>
      </c>
      <c r="L47" s="31" t="s">
        <v>0</v>
      </c>
      <c r="M47" s="32">
        <f>M48</f>
        <v>184745347.50999999</v>
      </c>
      <c r="N47" s="32">
        <f t="shared" si="11"/>
        <v>184745347.50999999</v>
      </c>
      <c r="O47" s="32">
        <f t="shared" si="11"/>
        <v>184745347.50999999</v>
      </c>
      <c r="P47" s="33">
        <f t="shared" si="2"/>
        <v>1</v>
      </c>
    </row>
    <row r="48" spans="1:16" s="34" customFormat="1" ht="64.5" customHeight="1" x14ac:dyDescent="0.25">
      <c r="A48" s="29" t="s">
        <v>35</v>
      </c>
      <c r="B48" s="30" t="s">
        <v>70</v>
      </c>
      <c r="C48" s="30" t="s">
        <v>28</v>
      </c>
      <c r="D48" s="30" t="s">
        <v>72</v>
      </c>
      <c r="E48" s="30" t="s">
        <v>30</v>
      </c>
      <c r="F48" s="30" t="s">
        <v>47</v>
      </c>
      <c r="G48" s="30" t="s">
        <v>27</v>
      </c>
      <c r="H48" s="30" t="s">
        <v>34</v>
      </c>
      <c r="I48" s="30" t="s">
        <v>36</v>
      </c>
      <c r="J48" s="30" t="s">
        <v>0</v>
      </c>
      <c r="K48" s="30" t="s">
        <v>0</v>
      </c>
      <c r="L48" s="30" t="s">
        <v>0</v>
      </c>
      <c r="M48" s="32">
        <f>M49</f>
        <v>184745347.50999999</v>
      </c>
      <c r="N48" s="32">
        <f t="shared" si="11"/>
        <v>184745347.50999999</v>
      </c>
      <c r="O48" s="32">
        <f t="shared" si="11"/>
        <v>184745347.50999999</v>
      </c>
      <c r="P48" s="33">
        <f t="shared" si="2"/>
        <v>1</v>
      </c>
    </row>
    <row r="49" spans="1:16" ht="48.9" customHeight="1" x14ac:dyDescent="0.25">
      <c r="A49" s="18" t="s">
        <v>88</v>
      </c>
      <c r="B49" s="19" t="s">
        <v>70</v>
      </c>
      <c r="C49" s="19" t="s">
        <v>28</v>
      </c>
      <c r="D49" s="19" t="s">
        <v>72</v>
      </c>
      <c r="E49" s="19" t="s">
        <v>30</v>
      </c>
      <c r="F49" s="19" t="s">
        <v>47</v>
      </c>
      <c r="G49" s="19" t="s">
        <v>27</v>
      </c>
      <c r="H49" s="19" t="s">
        <v>34</v>
      </c>
      <c r="I49" s="19" t="s">
        <v>36</v>
      </c>
      <c r="J49" s="21" t="s">
        <v>86</v>
      </c>
      <c r="K49" s="21" t="s">
        <v>89</v>
      </c>
      <c r="L49" s="21" t="s">
        <v>53</v>
      </c>
      <c r="M49" s="17">
        <f>140000000+28038952.02+16803895.2-97499.71</f>
        <v>184745347.50999999</v>
      </c>
      <c r="N49" s="17">
        <v>184745347.50999999</v>
      </c>
      <c r="O49" s="17">
        <v>184745347.50999999</v>
      </c>
      <c r="P49" s="28">
        <f t="shared" si="2"/>
        <v>1</v>
      </c>
    </row>
    <row r="50" spans="1:16" s="34" customFormat="1" ht="48.9" customHeight="1" x14ac:dyDescent="0.25">
      <c r="A50" s="29" t="s">
        <v>90</v>
      </c>
      <c r="B50" s="30" t="s">
        <v>70</v>
      </c>
      <c r="C50" s="30" t="s">
        <v>28</v>
      </c>
      <c r="D50" s="30" t="s">
        <v>91</v>
      </c>
      <c r="E50" s="30" t="s">
        <v>0</v>
      </c>
      <c r="F50" s="30" t="s">
        <v>0</v>
      </c>
      <c r="G50" s="30" t="s">
        <v>0</v>
      </c>
      <c r="H50" s="31" t="s">
        <v>0</v>
      </c>
      <c r="I50" s="31" t="s">
        <v>0</v>
      </c>
      <c r="J50" s="31" t="s">
        <v>0</v>
      </c>
      <c r="K50" s="31" t="s">
        <v>0</v>
      </c>
      <c r="L50" s="31" t="s">
        <v>0</v>
      </c>
      <c r="M50" s="32">
        <f>M51</f>
        <v>51835501.450000003</v>
      </c>
      <c r="N50" s="32">
        <f t="shared" ref="N50:O53" si="12">N51</f>
        <v>50663745.140000001</v>
      </c>
      <c r="O50" s="32">
        <f t="shared" si="12"/>
        <v>50663745.140000001</v>
      </c>
      <c r="P50" s="33">
        <f t="shared" si="2"/>
        <v>0.97739471448674486</v>
      </c>
    </row>
    <row r="51" spans="1:16" s="34" customFormat="1" ht="32.25" customHeight="1" x14ac:dyDescent="0.25">
      <c r="A51" s="29" t="s">
        <v>29</v>
      </c>
      <c r="B51" s="30" t="s">
        <v>70</v>
      </c>
      <c r="C51" s="30" t="s">
        <v>28</v>
      </c>
      <c r="D51" s="30" t="s">
        <v>91</v>
      </c>
      <c r="E51" s="30" t="s">
        <v>30</v>
      </c>
      <c r="F51" s="30" t="s">
        <v>0</v>
      </c>
      <c r="G51" s="30" t="s">
        <v>0</v>
      </c>
      <c r="H51" s="31" t="s">
        <v>0</v>
      </c>
      <c r="I51" s="31" t="s">
        <v>0</v>
      </c>
      <c r="J51" s="31" t="s">
        <v>0</v>
      </c>
      <c r="K51" s="31" t="s">
        <v>0</v>
      </c>
      <c r="L51" s="31" t="s">
        <v>0</v>
      </c>
      <c r="M51" s="32">
        <f>M52</f>
        <v>51835501.450000003</v>
      </c>
      <c r="N51" s="32">
        <f t="shared" si="12"/>
        <v>50663745.140000001</v>
      </c>
      <c r="O51" s="32">
        <f t="shared" si="12"/>
        <v>50663745.140000001</v>
      </c>
      <c r="P51" s="33">
        <f t="shared" si="2"/>
        <v>0.97739471448674486</v>
      </c>
    </row>
    <row r="52" spans="1:16" s="34" customFormat="1" ht="80.099999999999994" customHeight="1" x14ac:dyDescent="0.25">
      <c r="A52" s="29" t="s">
        <v>31</v>
      </c>
      <c r="B52" s="30" t="s">
        <v>70</v>
      </c>
      <c r="C52" s="30" t="s">
        <v>28</v>
      </c>
      <c r="D52" s="30" t="s">
        <v>91</v>
      </c>
      <c r="E52" s="30" t="s">
        <v>30</v>
      </c>
      <c r="F52" s="30" t="s">
        <v>0</v>
      </c>
      <c r="G52" s="30" t="s">
        <v>0</v>
      </c>
      <c r="H52" s="31" t="s">
        <v>0</v>
      </c>
      <c r="I52" s="31" t="s">
        <v>0</v>
      </c>
      <c r="J52" s="31" t="s">
        <v>0</v>
      </c>
      <c r="K52" s="31" t="s">
        <v>0</v>
      </c>
      <c r="L52" s="31" t="s">
        <v>0</v>
      </c>
      <c r="M52" s="32">
        <f>M53</f>
        <v>51835501.450000003</v>
      </c>
      <c r="N52" s="32">
        <f t="shared" si="12"/>
        <v>50663745.140000001</v>
      </c>
      <c r="O52" s="32">
        <f t="shared" si="12"/>
        <v>50663745.140000001</v>
      </c>
      <c r="P52" s="33">
        <f t="shared" si="2"/>
        <v>0.97739471448674486</v>
      </c>
    </row>
    <row r="53" spans="1:16" s="34" customFormat="1" ht="15" customHeight="1" x14ac:dyDescent="0.25">
      <c r="A53" s="35" t="s">
        <v>73</v>
      </c>
      <c r="B53" s="30" t="s">
        <v>70</v>
      </c>
      <c r="C53" s="30" t="s">
        <v>28</v>
      </c>
      <c r="D53" s="30" t="s">
        <v>91</v>
      </c>
      <c r="E53" s="30" t="s">
        <v>30</v>
      </c>
      <c r="F53" s="30" t="s">
        <v>47</v>
      </c>
      <c r="G53" s="30" t="s">
        <v>0</v>
      </c>
      <c r="H53" s="30" t="s">
        <v>0</v>
      </c>
      <c r="I53" s="30" t="s">
        <v>0</v>
      </c>
      <c r="J53" s="30" t="s">
        <v>0</v>
      </c>
      <c r="K53" s="30" t="s">
        <v>0</v>
      </c>
      <c r="L53" s="30" t="s">
        <v>0</v>
      </c>
      <c r="M53" s="32">
        <f>M54</f>
        <v>51835501.450000003</v>
      </c>
      <c r="N53" s="32">
        <f t="shared" si="12"/>
        <v>50663745.140000001</v>
      </c>
      <c r="O53" s="32">
        <f t="shared" si="12"/>
        <v>50663745.140000001</v>
      </c>
      <c r="P53" s="33">
        <f t="shared" si="2"/>
        <v>0.97739471448674486</v>
      </c>
    </row>
    <row r="54" spans="1:16" s="34" customFormat="1" ht="15" customHeight="1" x14ac:dyDescent="0.25">
      <c r="A54" s="35" t="s">
        <v>87</v>
      </c>
      <c r="B54" s="30" t="s">
        <v>70</v>
      </c>
      <c r="C54" s="30" t="s">
        <v>28</v>
      </c>
      <c r="D54" s="30" t="s">
        <v>91</v>
      </c>
      <c r="E54" s="30" t="s">
        <v>30</v>
      </c>
      <c r="F54" s="30" t="s">
        <v>47</v>
      </c>
      <c r="G54" s="30" t="s">
        <v>27</v>
      </c>
      <c r="H54" s="30" t="s">
        <v>0</v>
      </c>
      <c r="I54" s="30" t="s">
        <v>0</v>
      </c>
      <c r="J54" s="30" t="s">
        <v>0</v>
      </c>
      <c r="K54" s="30" t="s">
        <v>0</v>
      </c>
      <c r="L54" s="30" t="s">
        <v>0</v>
      </c>
      <c r="M54" s="32">
        <f>M55+M58</f>
        <v>51835501.450000003</v>
      </c>
      <c r="N54" s="32">
        <f t="shared" ref="N54:O54" si="13">N55+N58</f>
        <v>50663745.140000001</v>
      </c>
      <c r="O54" s="32">
        <f t="shared" si="13"/>
        <v>50663745.140000001</v>
      </c>
      <c r="P54" s="33">
        <f t="shared" si="2"/>
        <v>0.97739471448674486</v>
      </c>
    </row>
    <row r="55" spans="1:16" s="34" customFormat="1" ht="46.8" x14ac:dyDescent="0.25">
      <c r="A55" s="29" t="s">
        <v>33</v>
      </c>
      <c r="B55" s="30" t="s">
        <v>70</v>
      </c>
      <c r="C55" s="30" t="s">
        <v>28</v>
      </c>
      <c r="D55" s="30" t="s">
        <v>91</v>
      </c>
      <c r="E55" s="30" t="s">
        <v>30</v>
      </c>
      <c r="F55" s="30" t="s">
        <v>47</v>
      </c>
      <c r="G55" s="30" t="s">
        <v>27</v>
      </c>
      <c r="H55" s="30">
        <v>11260</v>
      </c>
      <c r="I55" s="31" t="s">
        <v>0</v>
      </c>
      <c r="J55" s="31" t="s">
        <v>0</v>
      </c>
      <c r="K55" s="31" t="s">
        <v>0</v>
      </c>
      <c r="L55" s="31" t="s">
        <v>0</v>
      </c>
      <c r="M55" s="32">
        <f>M56</f>
        <v>14382109.5</v>
      </c>
      <c r="N55" s="32">
        <f t="shared" ref="N55:O56" si="14">N56</f>
        <v>13786897.1</v>
      </c>
      <c r="O55" s="32">
        <f t="shared" si="14"/>
        <v>13786897.1</v>
      </c>
      <c r="P55" s="33">
        <f t="shared" si="2"/>
        <v>0.95861438824394984</v>
      </c>
    </row>
    <row r="56" spans="1:16" s="34" customFormat="1" ht="64.5" customHeight="1" x14ac:dyDescent="0.25">
      <c r="A56" s="29" t="s">
        <v>35</v>
      </c>
      <c r="B56" s="30" t="s">
        <v>70</v>
      </c>
      <c r="C56" s="30" t="s">
        <v>28</v>
      </c>
      <c r="D56" s="30" t="s">
        <v>91</v>
      </c>
      <c r="E56" s="30" t="s">
        <v>30</v>
      </c>
      <c r="F56" s="30" t="s">
        <v>47</v>
      </c>
      <c r="G56" s="30" t="s">
        <v>27</v>
      </c>
      <c r="H56" s="30">
        <v>11260</v>
      </c>
      <c r="I56" s="30" t="s">
        <v>36</v>
      </c>
      <c r="J56" s="30" t="s">
        <v>0</v>
      </c>
      <c r="K56" s="30" t="s">
        <v>0</v>
      </c>
      <c r="L56" s="30" t="s">
        <v>0</v>
      </c>
      <c r="M56" s="32">
        <f>M57</f>
        <v>14382109.5</v>
      </c>
      <c r="N56" s="32">
        <f t="shared" si="14"/>
        <v>13786897.1</v>
      </c>
      <c r="O56" s="32">
        <f t="shared" si="14"/>
        <v>13786897.1</v>
      </c>
      <c r="P56" s="33">
        <f t="shared" si="2"/>
        <v>0.95861438824394984</v>
      </c>
    </row>
    <row r="57" spans="1:16" ht="62.4" x14ac:dyDescent="0.25">
      <c r="A57" s="18" t="s">
        <v>338</v>
      </c>
      <c r="B57" s="19" t="s">
        <v>70</v>
      </c>
      <c r="C57" s="19" t="s">
        <v>28</v>
      </c>
      <c r="D57" s="19" t="s">
        <v>91</v>
      </c>
      <c r="E57" s="19" t="s">
        <v>30</v>
      </c>
      <c r="F57" s="19" t="s">
        <v>47</v>
      </c>
      <c r="G57" s="19" t="s">
        <v>27</v>
      </c>
      <c r="H57" s="19">
        <v>11260</v>
      </c>
      <c r="I57" s="19" t="s">
        <v>36</v>
      </c>
      <c r="J57" s="21" t="s">
        <v>86</v>
      </c>
      <c r="K57" s="21" t="s">
        <v>95</v>
      </c>
      <c r="L57" s="21" t="s">
        <v>53</v>
      </c>
      <c r="M57" s="17">
        <f>22000000-7617890.5</f>
        <v>14382109.5</v>
      </c>
      <c r="N57" s="17">
        <v>13786897.1</v>
      </c>
      <c r="O57" s="17">
        <v>13786897.1</v>
      </c>
      <c r="P57" s="28">
        <f t="shared" si="2"/>
        <v>0.95861438824394984</v>
      </c>
    </row>
    <row r="58" spans="1:16" s="34" customFormat="1" ht="96.6" customHeight="1" x14ac:dyDescent="0.25">
      <c r="A58" s="29" t="s">
        <v>92</v>
      </c>
      <c r="B58" s="30" t="s">
        <v>70</v>
      </c>
      <c r="C58" s="30" t="s">
        <v>28</v>
      </c>
      <c r="D58" s="30" t="s">
        <v>91</v>
      </c>
      <c r="E58" s="30" t="s">
        <v>30</v>
      </c>
      <c r="F58" s="30" t="s">
        <v>47</v>
      </c>
      <c r="G58" s="30" t="s">
        <v>27</v>
      </c>
      <c r="H58" s="30" t="s">
        <v>93</v>
      </c>
      <c r="I58" s="31" t="s">
        <v>0</v>
      </c>
      <c r="J58" s="31" t="s">
        <v>0</v>
      </c>
      <c r="K58" s="31" t="s">
        <v>0</v>
      </c>
      <c r="L58" s="31" t="s">
        <v>0</v>
      </c>
      <c r="M58" s="32">
        <f>M59</f>
        <v>37453391.950000003</v>
      </c>
      <c r="N58" s="32">
        <f t="shared" ref="N58:O58" si="15">N59</f>
        <v>36876848.039999999</v>
      </c>
      <c r="O58" s="32">
        <f t="shared" si="15"/>
        <v>36876848.039999999</v>
      </c>
      <c r="P58" s="33">
        <f t="shared" si="2"/>
        <v>0.98460636326958884</v>
      </c>
    </row>
    <row r="59" spans="1:16" s="34" customFormat="1" ht="64.5" customHeight="1" x14ac:dyDescent="0.25">
      <c r="A59" s="29" t="s">
        <v>35</v>
      </c>
      <c r="B59" s="30" t="s">
        <v>70</v>
      </c>
      <c r="C59" s="30" t="s">
        <v>28</v>
      </c>
      <c r="D59" s="30" t="s">
        <v>91</v>
      </c>
      <c r="E59" s="30" t="s">
        <v>30</v>
      </c>
      <c r="F59" s="30" t="s">
        <v>47</v>
      </c>
      <c r="G59" s="30" t="s">
        <v>27</v>
      </c>
      <c r="H59" s="30" t="s">
        <v>93</v>
      </c>
      <c r="I59" s="30" t="s">
        <v>36</v>
      </c>
      <c r="J59" s="30" t="s">
        <v>0</v>
      </c>
      <c r="K59" s="30" t="s">
        <v>0</v>
      </c>
      <c r="L59" s="30" t="s">
        <v>0</v>
      </c>
      <c r="M59" s="32">
        <f>M60+M61+M62</f>
        <v>37453391.950000003</v>
      </c>
      <c r="N59" s="32">
        <f t="shared" ref="N59:O59" si="16">N60+N61+N62</f>
        <v>36876848.039999999</v>
      </c>
      <c r="O59" s="32">
        <f t="shared" si="16"/>
        <v>36876848.039999999</v>
      </c>
      <c r="P59" s="33">
        <f t="shared" si="2"/>
        <v>0.98460636326958884</v>
      </c>
    </row>
    <row r="60" spans="1:16" ht="48.9" customHeight="1" x14ac:dyDescent="0.25">
      <c r="A60" s="18" t="s">
        <v>94</v>
      </c>
      <c r="B60" s="19" t="s">
        <v>70</v>
      </c>
      <c r="C60" s="19" t="s">
        <v>28</v>
      </c>
      <c r="D60" s="19" t="s">
        <v>91</v>
      </c>
      <c r="E60" s="19" t="s">
        <v>30</v>
      </c>
      <c r="F60" s="19" t="s">
        <v>47</v>
      </c>
      <c r="G60" s="19" t="s">
        <v>27</v>
      </c>
      <c r="H60" s="19" t="s">
        <v>93</v>
      </c>
      <c r="I60" s="19" t="s">
        <v>36</v>
      </c>
      <c r="J60" s="21" t="s">
        <v>86</v>
      </c>
      <c r="K60" s="21" t="s">
        <v>95</v>
      </c>
      <c r="L60" s="21" t="s">
        <v>53</v>
      </c>
      <c r="M60" s="17">
        <f>14000000-2293571.34</f>
        <v>11706428.66</v>
      </c>
      <c r="N60" s="17">
        <v>11706428.66</v>
      </c>
      <c r="O60" s="17">
        <v>11706428.66</v>
      </c>
      <c r="P60" s="28">
        <f t="shared" si="2"/>
        <v>1</v>
      </c>
    </row>
    <row r="61" spans="1:16" ht="48.9" customHeight="1" x14ac:dyDescent="0.25">
      <c r="A61" s="18" t="s">
        <v>96</v>
      </c>
      <c r="B61" s="19" t="s">
        <v>70</v>
      </c>
      <c r="C61" s="19" t="s">
        <v>28</v>
      </c>
      <c r="D61" s="19" t="s">
        <v>91</v>
      </c>
      <c r="E61" s="19" t="s">
        <v>30</v>
      </c>
      <c r="F61" s="19" t="s">
        <v>47</v>
      </c>
      <c r="G61" s="19" t="s">
        <v>27</v>
      </c>
      <c r="H61" s="19" t="s">
        <v>93</v>
      </c>
      <c r="I61" s="19" t="s">
        <v>36</v>
      </c>
      <c r="J61" s="21" t="s">
        <v>86</v>
      </c>
      <c r="K61" s="21" t="s">
        <v>95</v>
      </c>
      <c r="L61" s="21" t="s">
        <v>53</v>
      </c>
      <c r="M61" s="17">
        <f>14000000-1657967.69</f>
        <v>12342032.310000001</v>
      </c>
      <c r="N61" s="17">
        <v>11938480.41</v>
      </c>
      <c r="O61" s="17">
        <v>11938480.41</v>
      </c>
      <c r="P61" s="28">
        <f t="shared" si="2"/>
        <v>0.96730263785867532</v>
      </c>
    </row>
    <row r="62" spans="1:16" ht="48.9" customHeight="1" x14ac:dyDescent="0.25">
      <c r="A62" s="18" t="s">
        <v>97</v>
      </c>
      <c r="B62" s="19" t="s">
        <v>70</v>
      </c>
      <c r="C62" s="19" t="s">
        <v>28</v>
      </c>
      <c r="D62" s="19" t="s">
        <v>91</v>
      </c>
      <c r="E62" s="19" t="s">
        <v>30</v>
      </c>
      <c r="F62" s="19" t="s">
        <v>47</v>
      </c>
      <c r="G62" s="19" t="s">
        <v>27</v>
      </c>
      <c r="H62" s="19" t="s">
        <v>93</v>
      </c>
      <c r="I62" s="19" t="s">
        <v>36</v>
      </c>
      <c r="J62" s="21" t="s">
        <v>86</v>
      </c>
      <c r="K62" s="21" t="s">
        <v>95</v>
      </c>
      <c r="L62" s="21" t="s">
        <v>53</v>
      </c>
      <c r="M62" s="17">
        <f>14000000-595069.02</f>
        <v>13404930.98</v>
      </c>
      <c r="N62" s="17">
        <v>13231938.970000001</v>
      </c>
      <c r="O62" s="17">
        <v>13231938.970000001</v>
      </c>
      <c r="P62" s="28">
        <f t="shared" si="2"/>
        <v>0.98709489737335454</v>
      </c>
    </row>
    <row r="63" spans="1:16" s="34" customFormat="1" ht="32.25" customHeight="1" x14ac:dyDescent="0.25">
      <c r="A63" s="29" t="s">
        <v>109</v>
      </c>
      <c r="B63" s="30" t="s">
        <v>95</v>
      </c>
      <c r="C63" s="30" t="s">
        <v>0</v>
      </c>
      <c r="D63" s="30" t="s">
        <v>0</v>
      </c>
      <c r="E63" s="30" t="s">
        <v>0</v>
      </c>
      <c r="F63" s="30" t="s">
        <v>0</v>
      </c>
      <c r="G63" s="30" t="s">
        <v>0</v>
      </c>
      <c r="H63" s="31" t="s">
        <v>0</v>
      </c>
      <c r="I63" s="31" t="s">
        <v>0</v>
      </c>
      <c r="J63" s="31" t="s">
        <v>0</v>
      </c>
      <c r="K63" s="31" t="s">
        <v>0</v>
      </c>
      <c r="L63" s="31" t="s">
        <v>0</v>
      </c>
      <c r="M63" s="32">
        <f t="shared" ref="M63:O70" si="17">M64</f>
        <v>19814582</v>
      </c>
      <c r="N63" s="32">
        <f t="shared" si="17"/>
        <v>16743885</v>
      </c>
      <c r="O63" s="32">
        <f t="shared" si="17"/>
        <v>19814582</v>
      </c>
      <c r="P63" s="33">
        <f t="shared" si="2"/>
        <v>1</v>
      </c>
    </row>
    <row r="64" spans="1:16" s="34" customFormat="1" ht="32.25" customHeight="1" x14ac:dyDescent="0.25">
      <c r="A64" s="29" t="s">
        <v>115</v>
      </c>
      <c r="B64" s="30" t="s">
        <v>95</v>
      </c>
      <c r="C64" s="30" t="s">
        <v>28</v>
      </c>
      <c r="D64" s="30" t="s">
        <v>116</v>
      </c>
      <c r="E64" s="30" t="s">
        <v>0</v>
      </c>
      <c r="F64" s="30" t="s">
        <v>0</v>
      </c>
      <c r="G64" s="30" t="s">
        <v>0</v>
      </c>
      <c r="H64" s="31" t="s">
        <v>0</v>
      </c>
      <c r="I64" s="31" t="s">
        <v>0</v>
      </c>
      <c r="J64" s="31" t="s">
        <v>0</v>
      </c>
      <c r="K64" s="31" t="s">
        <v>0</v>
      </c>
      <c r="L64" s="31" t="s">
        <v>0</v>
      </c>
      <c r="M64" s="32">
        <f t="shared" si="17"/>
        <v>19814582</v>
      </c>
      <c r="N64" s="32">
        <f t="shared" si="17"/>
        <v>16743885</v>
      </c>
      <c r="O64" s="32">
        <f t="shared" si="17"/>
        <v>19814582</v>
      </c>
      <c r="P64" s="33">
        <f t="shared" si="2"/>
        <v>1</v>
      </c>
    </row>
    <row r="65" spans="1:16" s="34" customFormat="1" ht="32.25" customHeight="1" x14ac:dyDescent="0.25">
      <c r="A65" s="29" t="s">
        <v>110</v>
      </c>
      <c r="B65" s="30" t="s">
        <v>95</v>
      </c>
      <c r="C65" s="30" t="s">
        <v>28</v>
      </c>
      <c r="D65" s="30" t="s">
        <v>116</v>
      </c>
      <c r="E65" s="30" t="s">
        <v>111</v>
      </c>
      <c r="F65" s="30" t="s">
        <v>0</v>
      </c>
      <c r="G65" s="30" t="s">
        <v>0</v>
      </c>
      <c r="H65" s="31" t="s">
        <v>0</v>
      </c>
      <c r="I65" s="31" t="s">
        <v>0</v>
      </c>
      <c r="J65" s="31" t="s">
        <v>0</v>
      </c>
      <c r="K65" s="31" t="s">
        <v>0</v>
      </c>
      <c r="L65" s="31" t="s">
        <v>0</v>
      </c>
      <c r="M65" s="32">
        <f t="shared" si="17"/>
        <v>19814582</v>
      </c>
      <c r="N65" s="32">
        <f t="shared" si="17"/>
        <v>16743885</v>
      </c>
      <c r="O65" s="32">
        <f t="shared" si="17"/>
        <v>19814582</v>
      </c>
      <c r="P65" s="33">
        <f t="shared" si="2"/>
        <v>1</v>
      </c>
    </row>
    <row r="66" spans="1:16" s="34" customFormat="1" ht="80.099999999999994" customHeight="1" x14ac:dyDescent="0.25">
      <c r="A66" s="29" t="s">
        <v>119</v>
      </c>
      <c r="B66" s="30" t="s">
        <v>95</v>
      </c>
      <c r="C66" s="30" t="s">
        <v>28</v>
      </c>
      <c r="D66" s="30" t="s">
        <v>116</v>
      </c>
      <c r="E66" s="30" t="s">
        <v>111</v>
      </c>
      <c r="F66" s="30" t="s">
        <v>0</v>
      </c>
      <c r="G66" s="30" t="s">
        <v>0</v>
      </c>
      <c r="H66" s="31" t="s">
        <v>0</v>
      </c>
      <c r="I66" s="31" t="s">
        <v>0</v>
      </c>
      <c r="J66" s="31" t="s">
        <v>0</v>
      </c>
      <c r="K66" s="31" t="s">
        <v>0</v>
      </c>
      <c r="L66" s="31" t="s">
        <v>0</v>
      </c>
      <c r="M66" s="32">
        <f t="shared" si="17"/>
        <v>19814582</v>
      </c>
      <c r="N66" s="32">
        <f t="shared" si="17"/>
        <v>16743885</v>
      </c>
      <c r="O66" s="32">
        <f t="shared" si="17"/>
        <v>19814582</v>
      </c>
      <c r="P66" s="33">
        <f t="shared" si="2"/>
        <v>1</v>
      </c>
    </row>
    <row r="67" spans="1:16" s="34" customFormat="1" ht="15" customHeight="1" x14ac:dyDescent="0.25">
      <c r="A67" s="35" t="s">
        <v>112</v>
      </c>
      <c r="B67" s="30" t="s">
        <v>95</v>
      </c>
      <c r="C67" s="30" t="s">
        <v>28</v>
      </c>
      <c r="D67" s="30" t="s">
        <v>116</v>
      </c>
      <c r="E67" s="30" t="s">
        <v>111</v>
      </c>
      <c r="F67" s="30" t="s">
        <v>113</v>
      </c>
      <c r="G67" s="30" t="s">
        <v>0</v>
      </c>
      <c r="H67" s="30" t="s">
        <v>0</v>
      </c>
      <c r="I67" s="30" t="s">
        <v>0</v>
      </c>
      <c r="J67" s="30" t="s">
        <v>0</v>
      </c>
      <c r="K67" s="30" t="s">
        <v>0</v>
      </c>
      <c r="L67" s="30" t="s">
        <v>0</v>
      </c>
      <c r="M67" s="32">
        <f t="shared" si="17"/>
        <v>19814582</v>
      </c>
      <c r="N67" s="32">
        <f t="shared" si="17"/>
        <v>16743885</v>
      </c>
      <c r="O67" s="32">
        <f t="shared" si="17"/>
        <v>19814582</v>
      </c>
      <c r="P67" s="33">
        <f t="shared" si="2"/>
        <v>1</v>
      </c>
    </row>
    <row r="68" spans="1:16" s="34" customFormat="1" ht="15" customHeight="1" x14ac:dyDescent="0.25">
      <c r="A68" s="35" t="s">
        <v>114</v>
      </c>
      <c r="B68" s="30" t="s">
        <v>95</v>
      </c>
      <c r="C68" s="30" t="s">
        <v>28</v>
      </c>
      <c r="D68" s="30" t="s">
        <v>116</v>
      </c>
      <c r="E68" s="30" t="s">
        <v>111</v>
      </c>
      <c r="F68" s="30" t="s">
        <v>113</v>
      </c>
      <c r="G68" s="30" t="s">
        <v>75</v>
      </c>
      <c r="H68" s="30" t="s">
        <v>0</v>
      </c>
      <c r="I68" s="30" t="s">
        <v>0</v>
      </c>
      <c r="J68" s="30" t="s">
        <v>0</v>
      </c>
      <c r="K68" s="30" t="s">
        <v>0</v>
      </c>
      <c r="L68" s="30" t="s">
        <v>0</v>
      </c>
      <c r="M68" s="32">
        <f t="shared" si="17"/>
        <v>19814582</v>
      </c>
      <c r="N68" s="32">
        <f t="shared" si="17"/>
        <v>16743885</v>
      </c>
      <c r="O68" s="32">
        <f t="shared" si="17"/>
        <v>19814582</v>
      </c>
      <c r="P68" s="33">
        <f t="shared" si="2"/>
        <v>1</v>
      </c>
    </row>
    <row r="69" spans="1:16" s="34" customFormat="1" ht="48.9" customHeight="1" x14ac:dyDescent="0.25">
      <c r="A69" s="29" t="s">
        <v>117</v>
      </c>
      <c r="B69" s="30" t="s">
        <v>95</v>
      </c>
      <c r="C69" s="30" t="s">
        <v>28</v>
      </c>
      <c r="D69" s="30" t="s">
        <v>116</v>
      </c>
      <c r="E69" s="30" t="s">
        <v>111</v>
      </c>
      <c r="F69" s="30" t="s">
        <v>113</v>
      </c>
      <c r="G69" s="30" t="s">
        <v>75</v>
      </c>
      <c r="H69" s="30" t="s">
        <v>118</v>
      </c>
      <c r="I69" s="31" t="s">
        <v>0</v>
      </c>
      <c r="J69" s="31" t="s">
        <v>0</v>
      </c>
      <c r="K69" s="31" t="s">
        <v>0</v>
      </c>
      <c r="L69" s="31" t="s">
        <v>0</v>
      </c>
      <c r="M69" s="32">
        <f t="shared" si="17"/>
        <v>19814582</v>
      </c>
      <c r="N69" s="32">
        <f t="shared" si="17"/>
        <v>16743885</v>
      </c>
      <c r="O69" s="32">
        <f t="shared" si="17"/>
        <v>19814582</v>
      </c>
      <c r="P69" s="33">
        <f t="shared" si="2"/>
        <v>1</v>
      </c>
    </row>
    <row r="70" spans="1:16" s="34" customFormat="1" ht="96.6" customHeight="1" x14ac:dyDescent="0.25">
      <c r="A70" s="29" t="s">
        <v>120</v>
      </c>
      <c r="B70" s="30" t="s">
        <v>95</v>
      </c>
      <c r="C70" s="30" t="s">
        <v>28</v>
      </c>
      <c r="D70" s="30" t="s">
        <v>116</v>
      </c>
      <c r="E70" s="30" t="s">
        <v>111</v>
      </c>
      <c r="F70" s="30" t="s">
        <v>113</v>
      </c>
      <c r="G70" s="30" t="s">
        <v>75</v>
      </c>
      <c r="H70" s="30" t="s">
        <v>118</v>
      </c>
      <c r="I70" s="30" t="s">
        <v>121</v>
      </c>
      <c r="J70" s="30" t="s">
        <v>0</v>
      </c>
      <c r="K70" s="30" t="s">
        <v>0</v>
      </c>
      <c r="L70" s="30" t="s">
        <v>0</v>
      </c>
      <c r="M70" s="32">
        <f t="shared" si="17"/>
        <v>19814582</v>
      </c>
      <c r="N70" s="32">
        <f t="shared" si="17"/>
        <v>16743885</v>
      </c>
      <c r="O70" s="32">
        <f t="shared" si="17"/>
        <v>19814582</v>
      </c>
      <c r="P70" s="33">
        <f t="shared" si="2"/>
        <v>1</v>
      </c>
    </row>
    <row r="71" spans="1:16" ht="48.9" customHeight="1" x14ac:dyDescent="0.25">
      <c r="A71" s="18" t="s">
        <v>366</v>
      </c>
      <c r="B71" s="19" t="s">
        <v>95</v>
      </c>
      <c r="C71" s="19" t="s">
        <v>28</v>
      </c>
      <c r="D71" s="19" t="s">
        <v>116</v>
      </c>
      <c r="E71" s="19" t="s">
        <v>111</v>
      </c>
      <c r="F71" s="19" t="s">
        <v>113</v>
      </c>
      <c r="G71" s="19" t="s">
        <v>75</v>
      </c>
      <c r="H71" s="19" t="s">
        <v>118</v>
      </c>
      <c r="I71" s="19" t="s">
        <v>121</v>
      </c>
      <c r="J71" s="21" t="s">
        <v>122</v>
      </c>
      <c r="K71" s="21" t="s">
        <v>30</v>
      </c>
      <c r="L71" s="21" t="s">
        <v>53</v>
      </c>
      <c r="M71" s="17">
        <v>19814582</v>
      </c>
      <c r="N71" s="17">
        <v>16743885</v>
      </c>
      <c r="O71" s="17">
        <v>19814582</v>
      </c>
      <c r="P71" s="28">
        <f t="shared" ref="P71:P134" si="18">O71/M71</f>
        <v>1</v>
      </c>
    </row>
    <row r="72" spans="1:16" s="34" customFormat="1" ht="32.25" customHeight="1" x14ac:dyDescent="0.25">
      <c r="A72" s="29" t="s">
        <v>123</v>
      </c>
      <c r="B72" s="30" t="s">
        <v>124</v>
      </c>
      <c r="C72" s="30" t="s">
        <v>0</v>
      </c>
      <c r="D72" s="30" t="s">
        <v>0</v>
      </c>
      <c r="E72" s="30" t="s">
        <v>0</v>
      </c>
      <c r="F72" s="30" t="s">
        <v>0</v>
      </c>
      <c r="G72" s="30" t="s">
        <v>0</v>
      </c>
      <c r="H72" s="31" t="s">
        <v>0</v>
      </c>
      <c r="I72" s="31" t="s">
        <v>0</v>
      </c>
      <c r="J72" s="31" t="s">
        <v>0</v>
      </c>
      <c r="K72" s="31" t="s">
        <v>0</v>
      </c>
      <c r="L72" s="31" t="s">
        <v>0</v>
      </c>
      <c r="M72" s="32">
        <f>M73</f>
        <v>213414200.03</v>
      </c>
      <c r="N72" s="32">
        <f t="shared" ref="N72:O75" si="19">N73</f>
        <v>213414200.03</v>
      </c>
      <c r="O72" s="32">
        <f t="shared" si="19"/>
        <v>213414200.03</v>
      </c>
      <c r="P72" s="33">
        <f t="shared" si="18"/>
        <v>1</v>
      </c>
    </row>
    <row r="73" spans="1:16" s="34" customFormat="1" ht="32.25" customHeight="1" x14ac:dyDescent="0.25">
      <c r="A73" s="29" t="s">
        <v>125</v>
      </c>
      <c r="B73" s="30" t="s">
        <v>124</v>
      </c>
      <c r="C73" s="30" t="s">
        <v>28</v>
      </c>
      <c r="D73" s="30" t="s">
        <v>70</v>
      </c>
      <c r="E73" s="30" t="s">
        <v>0</v>
      </c>
      <c r="F73" s="30" t="s">
        <v>0</v>
      </c>
      <c r="G73" s="30" t="s">
        <v>0</v>
      </c>
      <c r="H73" s="31" t="s">
        <v>0</v>
      </c>
      <c r="I73" s="31" t="s">
        <v>0</v>
      </c>
      <c r="J73" s="31" t="s">
        <v>0</v>
      </c>
      <c r="K73" s="31" t="s">
        <v>0</v>
      </c>
      <c r="L73" s="31" t="s">
        <v>0</v>
      </c>
      <c r="M73" s="32">
        <f>M74</f>
        <v>213414200.03</v>
      </c>
      <c r="N73" s="32">
        <f t="shared" si="19"/>
        <v>213414200.03</v>
      </c>
      <c r="O73" s="32">
        <f t="shared" si="19"/>
        <v>213414200.03</v>
      </c>
      <c r="P73" s="33">
        <f t="shared" si="18"/>
        <v>1</v>
      </c>
    </row>
    <row r="74" spans="1:16" s="34" customFormat="1" ht="32.25" customHeight="1" x14ac:dyDescent="0.25">
      <c r="A74" s="29" t="s">
        <v>29</v>
      </c>
      <c r="B74" s="30" t="s">
        <v>124</v>
      </c>
      <c r="C74" s="30" t="s">
        <v>28</v>
      </c>
      <c r="D74" s="30" t="s">
        <v>70</v>
      </c>
      <c r="E74" s="30" t="s">
        <v>30</v>
      </c>
      <c r="F74" s="30" t="s">
        <v>0</v>
      </c>
      <c r="G74" s="30" t="s">
        <v>0</v>
      </c>
      <c r="H74" s="31" t="s">
        <v>0</v>
      </c>
      <c r="I74" s="31" t="s">
        <v>0</v>
      </c>
      <c r="J74" s="31" t="s">
        <v>0</v>
      </c>
      <c r="K74" s="31" t="s">
        <v>0</v>
      </c>
      <c r="L74" s="31" t="s">
        <v>0</v>
      </c>
      <c r="M74" s="32">
        <f>M75</f>
        <v>213414200.03</v>
      </c>
      <c r="N74" s="32">
        <f t="shared" si="19"/>
        <v>213414200.03</v>
      </c>
      <c r="O74" s="32">
        <f t="shared" si="19"/>
        <v>213414200.03</v>
      </c>
      <c r="P74" s="33">
        <f t="shared" si="18"/>
        <v>1</v>
      </c>
    </row>
    <row r="75" spans="1:16" s="34" customFormat="1" ht="80.099999999999994" customHeight="1" x14ac:dyDescent="0.25">
      <c r="A75" s="29" t="s">
        <v>31</v>
      </c>
      <c r="B75" s="30" t="s">
        <v>124</v>
      </c>
      <c r="C75" s="30" t="s">
        <v>28</v>
      </c>
      <c r="D75" s="30" t="s">
        <v>70</v>
      </c>
      <c r="E75" s="30" t="s">
        <v>30</v>
      </c>
      <c r="F75" s="30" t="s">
        <v>0</v>
      </c>
      <c r="G75" s="30" t="s">
        <v>0</v>
      </c>
      <c r="H75" s="31" t="s">
        <v>0</v>
      </c>
      <c r="I75" s="31" t="s">
        <v>0</v>
      </c>
      <c r="J75" s="31" t="s">
        <v>0</v>
      </c>
      <c r="K75" s="31" t="s">
        <v>0</v>
      </c>
      <c r="L75" s="31" t="s">
        <v>0</v>
      </c>
      <c r="M75" s="32">
        <f>M76</f>
        <v>213414200.03</v>
      </c>
      <c r="N75" s="32">
        <f t="shared" si="19"/>
        <v>213414200.03</v>
      </c>
      <c r="O75" s="32">
        <f t="shared" si="19"/>
        <v>213414200.03</v>
      </c>
      <c r="P75" s="33">
        <f t="shared" si="18"/>
        <v>1</v>
      </c>
    </row>
    <row r="76" spans="1:16" s="34" customFormat="1" ht="15" customHeight="1" x14ac:dyDescent="0.25">
      <c r="A76" s="35" t="s">
        <v>126</v>
      </c>
      <c r="B76" s="30" t="s">
        <v>124</v>
      </c>
      <c r="C76" s="30" t="s">
        <v>28</v>
      </c>
      <c r="D76" s="30" t="s">
        <v>70</v>
      </c>
      <c r="E76" s="30" t="s">
        <v>30</v>
      </c>
      <c r="F76" s="30" t="s">
        <v>39</v>
      </c>
      <c r="G76" s="30" t="s">
        <v>0</v>
      </c>
      <c r="H76" s="30" t="s">
        <v>0</v>
      </c>
      <c r="I76" s="30" t="s">
        <v>0</v>
      </c>
      <c r="J76" s="30" t="s">
        <v>0</v>
      </c>
      <c r="K76" s="30" t="s">
        <v>0</v>
      </c>
      <c r="L76" s="30" t="s">
        <v>0</v>
      </c>
      <c r="M76" s="32">
        <f>M77+M81</f>
        <v>213414200.03</v>
      </c>
      <c r="N76" s="32">
        <f t="shared" ref="N76:O76" si="20">N77+N81</f>
        <v>213414200.03</v>
      </c>
      <c r="O76" s="32">
        <f t="shared" si="20"/>
        <v>213414200.03</v>
      </c>
      <c r="P76" s="33">
        <f t="shared" si="18"/>
        <v>1</v>
      </c>
    </row>
    <row r="77" spans="1:16" s="34" customFormat="1" ht="15" customHeight="1" x14ac:dyDescent="0.25">
      <c r="A77" s="35" t="s">
        <v>127</v>
      </c>
      <c r="B77" s="30" t="s">
        <v>124</v>
      </c>
      <c r="C77" s="30" t="s">
        <v>28</v>
      </c>
      <c r="D77" s="30" t="s">
        <v>70</v>
      </c>
      <c r="E77" s="30" t="s">
        <v>30</v>
      </c>
      <c r="F77" s="30" t="s">
        <v>39</v>
      </c>
      <c r="G77" s="30" t="s">
        <v>27</v>
      </c>
      <c r="H77" s="30" t="s">
        <v>0</v>
      </c>
      <c r="I77" s="30" t="s">
        <v>0</v>
      </c>
      <c r="J77" s="30" t="s">
        <v>0</v>
      </c>
      <c r="K77" s="30" t="s">
        <v>0</v>
      </c>
      <c r="L77" s="30" t="s">
        <v>0</v>
      </c>
      <c r="M77" s="32">
        <f>M78</f>
        <v>90000000</v>
      </c>
      <c r="N77" s="32">
        <f t="shared" ref="N77:O79" si="21">N78</f>
        <v>90000000</v>
      </c>
      <c r="O77" s="32">
        <f t="shared" si="21"/>
        <v>90000000</v>
      </c>
      <c r="P77" s="33">
        <f t="shared" si="18"/>
        <v>1</v>
      </c>
    </row>
    <row r="78" spans="1:16" s="34" customFormat="1" ht="48.9" customHeight="1" x14ac:dyDescent="0.25">
      <c r="A78" s="29" t="s">
        <v>33</v>
      </c>
      <c r="B78" s="30" t="s">
        <v>124</v>
      </c>
      <c r="C78" s="30" t="s">
        <v>28</v>
      </c>
      <c r="D78" s="30" t="s">
        <v>70</v>
      </c>
      <c r="E78" s="30" t="s">
        <v>30</v>
      </c>
      <c r="F78" s="30" t="s">
        <v>39</v>
      </c>
      <c r="G78" s="30" t="s">
        <v>27</v>
      </c>
      <c r="H78" s="30" t="s">
        <v>34</v>
      </c>
      <c r="I78" s="31" t="s">
        <v>0</v>
      </c>
      <c r="J78" s="31" t="s">
        <v>0</v>
      </c>
      <c r="K78" s="31" t="s">
        <v>0</v>
      </c>
      <c r="L78" s="31" t="s">
        <v>0</v>
      </c>
      <c r="M78" s="32">
        <f>M79</f>
        <v>90000000</v>
      </c>
      <c r="N78" s="32">
        <f t="shared" si="21"/>
        <v>90000000</v>
      </c>
      <c r="O78" s="32">
        <f t="shared" si="21"/>
        <v>90000000</v>
      </c>
      <c r="P78" s="33">
        <f t="shared" si="18"/>
        <v>1</v>
      </c>
    </row>
    <row r="79" spans="1:16" s="34" customFormat="1" ht="64.5" customHeight="1" x14ac:dyDescent="0.25">
      <c r="A79" s="29" t="s">
        <v>35</v>
      </c>
      <c r="B79" s="30" t="s">
        <v>124</v>
      </c>
      <c r="C79" s="30" t="s">
        <v>28</v>
      </c>
      <c r="D79" s="30" t="s">
        <v>70</v>
      </c>
      <c r="E79" s="30" t="s">
        <v>30</v>
      </c>
      <c r="F79" s="30" t="s">
        <v>39</v>
      </c>
      <c r="G79" s="30" t="s">
        <v>27</v>
      </c>
      <c r="H79" s="30" t="s">
        <v>34</v>
      </c>
      <c r="I79" s="30" t="s">
        <v>36</v>
      </c>
      <c r="J79" s="30" t="s">
        <v>0</v>
      </c>
      <c r="K79" s="30" t="s">
        <v>0</v>
      </c>
      <c r="L79" s="30" t="s">
        <v>0</v>
      </c>
      <c r="M79" s="32">
        <f>M80</f>
        <v>90000000</v>
      </c>
      <c r="N79" s="32">
        <f t="shared" si="21"/>
        <v>90000000</v>
      </c>
      <c r="O79" s="32">
        <f t="shared" si="21"/>
        <v>90000000</v>
      </c>
      <c r="P79" s="33">
        <f t="shared" si="18"/>
        <v>1</v>
      </c>
    </row>
    <row r="80" spans="1:16" ht="64.5" customHeight="1" x14ac:dyDescent="0.25">
      <c r="A80" s="18" t="s">
        <v>128</v>
      </c>
      <c r="B80" s="19" t="s">
        <v>124</v>
      </c>
      <c r="C80" s="19" t="s">
        <v>28</v>
      </c>
      <c r="D80" s="19" t="s">
        <v>70</v>
      </c>
      <c r="E80" s="19" t="s">
        <v>30</v>
      </c>
      <c r="F80" s="19" t="s">
        <v>39</v>
      </c>
      <c r="G80" s="19" t="s">
        <v>27</v>
      </c>
      <c r="H80" s="19" t="s">
        <v>34</v>
      </c>
      <c r="I80" s="19" t="s">
        <v>36</v>
      </c>
      <c r="J80" s="21" t="s">
        <v>77</v>
      </c>
      <c r="K80" s="21">
        <v>144</v>
      </c>
      <c r="L80" s="21" t="s">
        <v>79</v>
      </c>
      <c r="M80" s="17">
        <v>90000000</v>
      </c>
      <c r="N80" s="17">
        <v>90000000</v>
      </c>
      <c r="O80" s="17">
        <v>90000000</v>
      </c>
      <c r="P80" s="28">
        <f t="shared" si="18"/>
        <v>1</v>
      </c>
    </row>
    <row r="81" spans="1:16" s="34" customFormat="1" ht="15" customHeight="1" x14ac:dyDescent="0.25">
      <c r="A81" s="35" t="s">
        <v>129</v>
      </c>
      <c r="B81" s="30" t="s">
        <v>124</v>
      </c>
      <c r="C81" s="30" t="s">
        <v>28</v>
      </c>
      <c r="D81" s="30" t="s">
        <v>70</v>
      </c>
      <c r="E81" s="30" t="s">
        <v>30</v>
      </c>
      <c r="F81" s="30" t="s">
        <v>39</v>
      </c>
      <c r="G81" s="30" t="s">
        <v>32</v>
      </c>
      <c r="H81" s="30" t="s">
        <v>0</v>
      </c>
      <c r="I81" s="30" t="s">
        <v>0</v>
      </c>
      <c r="J81" s="30" t="s">
        <v>0</v>
      </c>
      <c r="K81" s="30" t="s">
        <v>0</v>
      </c>
      <c r="L81" s="30" t="s">
        <v>0</v>
      </c>
      <c r="M81" s="32">
        <f>M82</f>
        <v>123414200.03</v>
      </c>
      <c r="N81" s="32">
        <f t="shared" ref="N81:O83" si="22">N82</f>
        <v>123414200.03</v>
      </c>
      <c r="O81" s="32">
        <f t="shared" si="22"/>
        <v>123414200.03</v>
      </c>
      <c r="P81" s="33">
        <f t="shared" si="18"/>
        <v>1</v>
      </c>
    </row>
    <row r="82" spans="1:16" s="34" customFormat="1" ht="48.9" customHeight="1" x14ac:dyDescent="0.25">
      <c r="A82" s="29" t="s">
        <v>33</v>
      </c>
      <c r="B82" s="30" t="s">
        <v>124</v>
      </c>
      <c r="C82" s="30" t="s">
        <v>28</v>
      </c>
      <c r="D82" s="30" t="s">
        <v>70</v>
      </c>
      <c r="E82" s="30" t="s">
        <v>30</v>
      </c>
      <c r="F82" s="30" t="s">
        <v>39</v>
      </c>
      <c r="G82" s="30" t="s">
        <v>32</v>
      </c>
      <c r="H82" s="30" t="s">
        <v>34</v>
      </c>
      <c r="I82" s="31" t="s">
        <v>0</v>
      </c>
      <c r="J82" s="31" t="s">
        <v>0</v>
      </c>
      <c r="K82" s="31" t="s">
        <v>0</v>
      </c>
      <c r="L82" s="31" t="s">
        <v>0</v>
      </c>
      <c r="M82" s="32">
        <f>M83</f>
        <v>123414200.03</v>
      </c>
      <c r="N82" s="32">
        <f t="shared" si="22"/>
        <v>123414200.03</v>
      </c>
      <c r="O82" s="32">
        <f t="shared" si="22"/>
        <v>123414200.03</v>
      </c>
      <c r="P82" s="33">
        <f t="shared" si="18"/>
        <v>1</v>
      </c>
    </row>
    <row r="83" spans="1:16" s="34" customFormat="1" ht="64.5" customHeight="1" x14ac:dyDescent="0.25">
      <c r="A83" s="29" t="s">
        <v>35</v>
      </c>
      <c r="B83" s="30" t="s">
        <v>124</v>
      </c>
      <c r="C83" s="30" t="s">
        <v>28</v>
      </c>
      <c r="D83" s="30" t="s">
        <v>70</v>
      </c>
      <c r="E83" s="30" t="s">
        <v>30</v>
      </c>
      <c r="F83" s="30" t="s">
        <v>39</v>
      </c>
      <c r="G83" s="30" t="s">
        <v>32</v>
      </c>
      <c r="H83" s="30" t="s">
        <v>34</v>
      </c>
      <c r="I83" s="30" t="s">
        <v>36</v>
      </c>
      <c r="J83" s="30" t="s">
        <v>0</v>
      </c>
      <c r="K83" s="30" t="s">
        <v>0</v>
      </c>
      <c r="L83" s="30" t="s">
        <v>0</v>
      </c>
      <c r="M83" s="32">
        <f>M84</f>
        <v>123414200.03</v>
      </c>
      <c r="N83" s="32">
        <f t="shared" si="22"/>
        <v>123414200.03</v>
      </c>
      <c r="O83" s="32">
        <f t="shared" si="22"/>
        <v>123414200.03</v>
      </c>
      <c r="P83" s="33">
        <f t="shared" si="18"/>
        <v>1</v>
      </c>
    </row>
    <row r="84" spans="1:16" ht="48.9" customHeight="1" x14ac:dyDescent="0.25">
      <c r="A84" s="18" t="s">
        <v>130</v>
      </c>
      <c r="B84" s="19" t="s">
        <v>124</v>
      </c>
      <c r="C84" s="19" t="s">
        <v>28</v>
      </c>
      <c r="D84" s="19" t="s">
        <v>70</v>
      </c>
      <c r="E84" s="19" t="s">
        <v>30</v>
      </c>
      <c r="F84" s="19" t="s">
        <v>39</v>
      </c>
      <c r="G84" s="19" t="s">
        <v>32</v>
      </c>
      <c r="H84" s="19" t="s">
        <v>34</v>
      </c>
      <c r="I84" s="19" t="s">
        <v>36</v>
      </c>
      <c r="J84" s="21" t="s">
        <v>77</v>
      </c>
      <c r="K84" s="21">
        <v>102</v>
      </c>
      <c r="L84" s="21">
        <v>2021</v>
      </c>
      <c r="M84" s="17">
        <f>187000000+34194731.38-40000000-57780531.35</f>
        <v>123414200.03</v>
      </c>
      <c r="N84" s="17">
        <v>123414200.03</v>
      </c>
      <c r="O84" s="17">
        <v>123414200.03</v>
      </c>
      <c r="P84" s="28">
        <f t="shared" si="18"/>
        <v>1</v>
      </c>
    </row>
    <row r="85" spans="1:16" s="34" customFormat="1" ht="80.099999999999994" customHeight="1" x14ac:dyDescent="0.25">
      <c r="A85" s="29" t="s">
        <v>131</v>
      </c>
      <c r="B85" s="30" t="s">
        <v>132</v>
      </c>
      <c r="C85" s="30" t="s">
        <v>0</v>
      </c>
      <c r="D85" s="30" t="s">
        <v>0</v>
      </c>
      <c r="E85" s="30" t="s">
        <v>0</v>
      </c>
      <c r="F85" s="30" t="s">
        <v>0</v>
      </c>
      <c r="G85" s="30" t="s">
        <v>0</v>
      </c>
      <c r="H85" s="31" t="s">
        <v>0</v>
      </c>
      <c r="I85" s="31" t="s">
        <v>0</v>
      </c>
      <c r="J85" s="31" t="s">
        <v>0</v>
      </c>
      <c r="K85" s="31" t="s">
        <v>0</v>
      </c>
      <c r="L85" s="31" t="s">
        <v>0</v>
      </c>
      <c r="M85" s="32">
        <f>M86+M99+M108</f>
        <v>13358562.18999999</v>
      </c>
      <c r="N85" s="32">
        <f t="shared" ref="N85:O85" si="23">N86+N99+N108</f>
        <v>13195660.609999999</v>
      </c>
      <c r="O85" s="32">
        <f t="shared" si="23"/>
        <v>13195660.609999999</v>
      </c>
      <c r="P85" s="33">
        <f t="shared" si="18"/>
        <v>0.98780545558099531</v>
      </c>
    </row>
    <row r="86" spans="1:16" s="34" customFormat="1" ht="64.5" customHeight="1" x14ac:dyDescent="0.25">
      <c r="A86" s="29" t="s">
        <v>133</v>
      </c>
      <c r="B86" s="30" t="s">
        <v>132</v>
      </c>
      <c r="C86" s="30" t="s">
        <v>14</v>
      </c>
      <c r="D86" s="30" t="s">
        <v>0</v>
      </c>
      <c r="E86" s="30" t="s">
        <v>0</v>
      </c>
      <c r="F86" s="30" t="s">
        <v>0</v>
      </c>
      <c r="G86" s="30" t="s">
        <v>0</v>
      </c>
      <c r="H86" s="31" t="s">
        <v>0</v>
      </c>
      <c r="I86" s="31" t="s">
        <v>0</v>
      </c>
      <c r="J86" s="31" t="s">
        <v>0</v>
      </c>
      <c r="K86" s="31" t="s">
        <v>0</v>
      </c>
      <c r="L86" s="31" t="s">
        <v>0</v>
      </c>
      <c r="M86" s="32">
        <f t="shared" ref="M86:O92" si="24">M87</f>
        <v>2293763.75</v>
      </c>
      <c r="N86" s="32">
        <f t="shared" si="24"/>
        <v>2148862.58</v>
      </c>
      <c r="O86" s="32">
        <f t="shared" si="24"/>
        <v>2148862.58</v>
      </c>
      <c r="P86" s="33">
        <f t="shared" si="18"/>
        <v>0.93682820647941623</v>
      </c>
    </row>
    <row r="87" spans="1:16" s="34" customFormat="1" ht="48.9" customHeight="1" x14ac:dyDescent="0.25">
      <c r="A87" s="29" t="s">
        <v>134</v>
      </c>
      <c r="B87" s="30" t="s">
        <v>132</v>
      </c>
      <c r="C87" s="30" t="s">
        <v>14</v>
      </c>
      <c r="D87" s="30" t="s">
        <v>132</v>
      </c>
      <c r="E87" s="30" t="s">
        <v>0</v>
      </c>
      <c r="F87" s="30" t="s">
        <v>0</v>
      </c>
      <c r="G87" s="30" t="s">
        <v>0</v>
      </c>
      <c r="H87" s="31" t="s">
        <v>0</v>
      </c>
      <c r="I87" s="31" t="s">
        <v>0</v>
      </c>
      <c r="J87" s="31" t="s">
        <v>0</v>
      </c>
      <c r="K87" s="31" t="s">
        <v>0</v>
      </c>
      <c r="L87" s="31" t="s">
        <v>0</v>
      </c>
      <c r="M87" s="32">
        <f t="shared" si="24"/>
        <v>2293763.75</v>
      </c>
      <c r="N87" s="32">
        <f t="shared" si="24"/>
        <v>2148862.58</v>
      </c>
      <c r="O87" s="32">
        <f t="shared" si="24"/>
        <v>2148862.58</v>
      </c>
      <c r="P87" s="33">
        <f t="shared" si="18"/>
        <v>0.93682820647941623</v>
      </c>
    </row>
    <row r="88" spans="1:16" s="34" customFormat="1" ht="32.25" customHeight="1" x14ac:dyDescent="0.25">
      <c r="A88" s="29" t="s">
        <v>29</v>
      </c>
      <c r="B88" s="30" t="s">
        <v>132</v>
      </c>
      <c r="C88" s="30" t="s">
        <v>14</v>
      </c>
      <c r="D88" s="30" t="s">
        <v>132</v>
      </c>
      <c r="E88" s="30" t="s">
        <v>30</v>
      </c>
      <c r="F88" s="30" t="s">
        <v>0</v>
      </c>
      <c r="G88" s="30" t="s">
        <v>0</v>
      </c>
      <c r="H88" s="31" t="s">
        <v>0</v>
      </c>
      <c r="I88" s="31" t="s">
        <v>0</v>
      </c>
      <c r="J88" s="31" t="s">
        <v>0</v>
      </c>
      <c r="K88" s="31" t="s">
        <v>0</v>
      </c>
      <c r="L88" s="31" t="s">
        <v>0</v>
      </c>
      <c r="M88" s="32">
        <f t="shared" si="24"/>
        <v>2293763.75</v>
      </c>
      <c r="N88" s="32">
        <f t="shared" si="24"/>
        <v>2148862.58</v>
      </c>
      <c r="O88" s="32">
        <f t="shared" si="24"/>
        <v>2148862.58</v>
      </c>
      <c r="P88" s="33">
        <f t="shared" si="18"/>
        <v>0.93682820647941623</v>
      </c>
    </row>
    <row r="89" spans="1:16" s="34" customFormat="1" ht="80.099999999999994" customHeight="1" x14ac:dyDescent="0.25">
      <c r="A89" s="29" t="s">
        <v>31</v>
      </c>
      <c r="B89" s="30" t="s">
        <v>132</v>
      </c>
      <c r="C89" s="30" t="s">
        <v>14</v>
      </c>
      <c r="D89" s="30" t="s">
        <v>132</v>
      </c>
      <c r="E89" s="30" t="s">
        <v>30</v>
      </c>
      <c r="F89" s="30" t="s">
        <v>0</v>
      </c>
      <c r="G89" s="30" t="s">
        <v>0</v>
      </c>
      <c r="H89" s="31" t="s">
        <v>0</v>
      </c>
      <c r="I89" s="31" t="s">
        <v>0</v>
      </c>
      <c r="J89" s="31" t="s">
        <v>0</v>
      </c>
      <c r="K89" s="31" t="s">
        <v>0</v>
      </c>
      <c r="L89" s="31" t="s">
        <v>0</v>
      </c>
      <c r="M89" s="32">
        <f t="shared" si="24"/>
        <v>2293763.75</v>
      </c>
      <c r="N89" s="32">
        <f t="shared" si="24"/>
        <v>2148862.58</v>
      </c>
      <c r="O89" s="32">
        <f t="shared" si="24"/>
        <v>2148862.58</v>
      </c>
      <c r="P89" s="33">
        <f t="shared" si="18"/>
        <v>0.93682820647941623</v>
      </c>
    </row>
    <row r="90" spans="1:16" s="34" customFormat="1" ht="15" customHeight="1" x14ac:dyDescent="0.25">
      <c r="A90" s="35" t="s">
        <v>63</v>
      </c>
      <c r="B90" s="30" t="s">
        <v>132</v>
      </c>
      <c r="C90" s="30" t="s">
        <v>14</v>
      </c>
      <c r="D90" s="30" t="s">
        <v>132</v>
      </c>
      <c r="E90" s="30" t="s">
        <v>30</v>
      </c>
      <c r="F90" s="30" t="s">
        <v>64</v>
      </c>
      <c r="G90" s="30" t="s">
        <v>0</v>
      </c>
      <c r="H90" s="30" t="s">
        <v>0</v>
      </c>
      <c r="I90" s="30" t="s">
        <v>0</v>
      </c>
      <c r="J90" s="30" t="s">
        <v>0</v>
      </c>
      <c r="K90" s="30" t="s">
        <v>0</v>
      </c>
      <c r="L90" s="30" t="s">
        <v>0</v>
      </c>
      <c r="M90" s="32">
        <f t="shared" si="24"/>
        <v>2293763.75</v>
      </c>
      <c r="N90" s="32">
        <f t="shared" si="24"/>
        <v>2148862.58</v>
      </c>
      <c r="O90" s="32">
        <f t="shared" si="24"/>
        <v>2148862.58</v>
      </c>
      <c r="P90" s="33">
        <f t="shared" si="18"/>
        <v>0.93682820647941623</v>
      </c>
    </row>
    <row r="91" spans="1:16" s="34" customFormat="1" ht="15" customHeight="1" x14ac:dyDescent="0.25">
      <c r="A91" s="35" t="s">
        <v>65</v>
      </c>
      <c r="B91" s="30" t="s">
        <v>132</v>
      </c>
      <c r="C91" s="30" t="s">
        <v>14</v>
      </c>
      <c r="D91" s="30" t="s">
        <v>132</v>
      </c>
      <c r="E91" s="30" t="s">
        <v>30</v>
      </c>
      <c r="F91" s="30" t="s">
        <v>64</v>
      </c>
      <c r="G91" s="30" t="s">
        <v>27</v>
      </c>
      <c r="H91" s="30" t="s">
        <v>0</v>
      </c>
      <c r="I91" s="30" t="s">
        <v>0</v>
      </c>
      <c r="J91" s="30" t="s">
        <v>0</v>
      </c>
      <c r="K91" s="30" t="s">
        <v>0</v>
      </c>
      <c r="L91" s="30" t="s">
        <v>0</v>
      </c>
      <c r="M91" s="32">
        <f t="shared" si="24"/>
        <v>2293763.75</v>
      </c>
      <c r="N91" s="32">
        <f t="shared" si="24"/>
        <v>2148862.58</v>
      </c>
      <c r="O91" s="32">
        <f t="shared" si="24"/>
        <v>2148862.58</v>
      </c>
      <c r="P91" s="33">
        <f t="shared" si="18"/>
        <v>0.93682820647941623</v>
      </c>
    </row>
    <row r="92" spans="1:16" s="34" customFormat="1" ht="48.9" customHeight="1" x14ac:dyDescent="0.25">
      <c r="A92" s="29" t="s">
        <v>33</v>
      </c>
      <c r="B92" s="30" t="s">
        <v>132</v>
      </c>
      <c r="C92" s="30" t="s">
        <v>14</v>
      </c>
      <c r="D92" s="30" t="s">
        <v>132</v>
      </c>
      <c r="E92" s="30" t="s">
        <v>30</v>
      </c>
      <c r="F92" s="30" t="s">
        <v>64</v>
      </c>
      <c r="G92" s="30" t="s">
        <v>27</v>
      </c>
      <c r="H92" s="30" t="s">
        <v>34</v>
      </c>
      <c r="I92" s="31" t="s">
        <v>0</v>
      </c>
      <c r="J92" s="31" t="s">
        <v>0</v>
      </c>
      <c r="K92" s="31" t="s">
        <v>0</v>
      </c>
      <c r="L92" s="31" t="s">
        <v>0</v>
      </c>
      <c r="M92" s="32">
        <f>M93</f>
        <v>2293763.75</v>
      </c>
      <c r="N92" s="32">
        <f t="shared" si="24"/>
        <v>2148862.58</v>
      </c>
      <c r="O92" s="32">
        <f t="shared" si="24"/>
        <v>2148862.58</v>
      </c>
      <c r="P92" s="33">
        <f t="shared" si="18"/>
        <v>0.93682820647941623</v>
      </c>
    </row>
    <row r="93" spans="1:16" s="34" customFormat="1" ht="64.5" customHeight="1" x14ac:dyDescent="0.25">
      <c r="A93" s="29" t="s">
        <v>35</v>
      </c>
      <c r="B93" s="30" t="s">
        <v>132</v>
      </c>
      <c r="C93" s="30" t="s">
        <v>14</v>
      </c>
      <c r="D93" s="30" t="s">
        <v>132</v>
      </c>
      <c r="E93" s="30" t="s">
        <v>30</v>
      </c>
      <c r="F93" s="30" t="s">
        <v>64</v>
      </c>
      <c r="G93" s="30" t="s">
        <v>27</v>
      </c>
      <c r="H93" s="30" t="s">
        <v>34</v>
      </c>
      <c r="I93" s="30" t="s">
        <v>36</v>
      </c>
      <c r="J93" s="30" t="s">
        <v>0</v>
      </c>
      <c r="K93" s="30" t="s">
        <v>0</v>
      </c>
      <c r="L93" s="30" t="s">
        <v>0</v>
      </c>
      <c r="M93" s="32">
        <f>M94+M95+M96+M97+M98</f>
        <v>2293763.75</v>
      </c>
      <c r="N93" s="32">
        <f t="shared" ref="N93:O93" si="25">N94+N95+N96+N97+N98</f>
        <v>2148862.58</v>
      </c>
      <c r="O93" s="32">
        <f t="shared" si="25"/>
        <v>2148862.58</v>
      </c>
      <c r="P93" s="33">
        <f t="shared" si="18"/>
        <v>0.93682820647941623</v>
      </c>
    </row>
    <row r="94" spans="1:16" ht="32.25" customHeight="1" x14ac:dyDescent="0.25">
      <c r="A94" s="18" t="s">
        <v>135</v>
      </c>
      <c r="B94" s="19" t="s">
        <v>132</v>
      </c>
      <c r="C94" s="19" t="s">
        <v>14</v>
      </c>
      <c r="D94" s="19" t="s">
        <v>132</v>
      </c>
      <c r="E94" s="19" t="s">
        <v>30</v>
      </c>
      <c r="F94" s="19" t="s">
        <v>64</v>
      </c>
      <c r="G94" s="19" t="s">
        <v>27</v>
      </c>
      <c r="H94" s="19" t="s">
        <v>34</v>
      </c>
      <c r="I94" s="19" t="s">
        <v>36</v>
      </c>
      <c r="J94" s="21" t="s">
        <v>136</v>
      </c>
      <c r="K94" s="21" t="s">
        <v>20</v>
      </c>
      <c r="L94" s="21">
        <v>2022</v>
      </c>
      <c r="M94" s="17">
        <f>1400000-1207833.97</f>
        <v>192166.03000000003</v>
      </c>
      <c r="N94" s="17">
        <v>163470</v>
      </c>
      <c r="O94" s="17">
        <v>163470</v>
      </c>
      <c r="P94" s="28">
        <f t="shared" si="18"/>
        <v>0.85067064142398097</v>
      </c>
    </row>
    <row r="95" spans="1:16" ht="32.25" customHeight="1" x14ac:dyDescent="0.25">
      <c r="A95" s="18" t="s">
        <v>137</v>
      </c>
      <c r="B95" s="19" t="s">
        <v>132</v>
      </c>
      <c r="C95" s="19" t="s">
        <v>14</v>
      </c>
      <c r="D95" s="19" t="s">
        <v>132</v>
      </c>
      <c r="E95" s="19" t="s">
        <v>30</v>
      </c>
      <c r="F95" s="19" t="s">
        <v>64</v>
      </c>
      <c r="G95" s="19" t="s">
        <v>27</v>
      </c>
      <c r="H95" s="19" t="s">
        <v>34</v>
      </c>
      <c r="I95" s="19" t="s">
        <v>36</v>
      </c>
      <c r="J95" s="21" t="s">
        <v>136</v>
      </c>
      <c r="K95" s="21" t="s">
        <v>20</v>
      </c>
      <c r="L95" s="21">
        <v>2022</v>
      </c>
      <c r="M95" s="17">
        <f>1400000-1207113.97</f>
        <v>192886.03000000003</v>
      </c>
      <c r="N95" s="17">
        <v>164190</v>
      </c>
      <c r="O95" s="17">
        <v>164190</v>
      </c>
      <c r="P95" s="28">
        <f t="shared" si="18"/>
        <v>0.85122805420382164</v>
      </c>
    </row>
    <row r="96" spans="1:16" ht="32.25" customHeight="1" x14ac:dyDescent="0.25">
      <c r="A96" s="18" t="s">
        <v>326</v>
      </c>
      <c r="B96" s="19" t="s">
        <v>132</v>
      </c>
      <c r="C96" s="19" t="s">
        <v>14</v>
      </c>
      <c r="D96" s="19" t="s">
        <v>132</v>
      </c>
      <c r="E96" s="19" t="s">
        <v>30</v>
      </c>
      <c r="F96" s="19" t="s">
        <v>64</v>
      </c>
      <c r="G96" s="19" t="s">
        <v>27</v>
      </c>
      <c r="H96" s="19" t="s">
        <v>34</v>
      </c>
      <c r="I96" s="19" t="s">
        <v>36</v>
      </c>
      <c r="J96" s="21" t="s">
        <v>136</v>
      </c>
      <c r="K96" s="21" t="s">
        <v>20</v>
      </c>
      <c r="L96" s="21">
        <v>2022</v>
      </c>
      <c r="M96" s="17">
        <f>1000000-806193.97</f>
        <v>193806.03000000003</v>
      </c>
      <c r="N96" s="17">
        <v>165110</v>
      </c>
      <c r="O96" s="17">
        <v>165110</v>
      </c>
      <c r="P96" s="28">
        <f t="shared" si="18"/>
        <v>0.85193427676115119</v>
      </c>
    </row>
    <row r="97" spans="1:16" ht="32.25" customHeight="1" x14ac:dyDescent="0.25">
      <c r="A97" s="18" t="s">
        <v>327</v>
      </c>
      <c r="B97" s="19" t="s">
        <v>132</v>
      </c>
      <c r="C97" s="19" t="s">
        <v>14</v>
      </c>
      <c r="D97" s="19" t="s">
        <v>132</v>
      </c>
      <c r="E97" s="19" t="s">
        <v>30</v>
      </c>
      <c r="F97" s="19" t="s">
        <v>64</v>
      </c>
      <c r="G97" s="19" t="s">
        <v>27</v>
      </c>
      <c r="H97" s="19" t="s">
        <v>34</v>
      </c>
      <c r="I97" s="19" t="s">
        <v>36</v>
      </c>
      <c r="J97" s="21" t="s">
        <v>136</v>
      </c>
      <c r="K97" s="21" t="s">
        <v>20</v>
      </c>
      <c r="L97" s="21">
        <v>2020</v>
      </c>
      <c r="M97" s="17">
        <f>1000000-285094.34</f>
        <v>714905.65999999992</v>
      </c>
      <c r="N97" s="17">
        <v>665415.66</v>
      </c>
      <c r="O97" s="17">
        <v>665415.66</v>
      </c>
      <c r="P97" s="28">
        <f t="shared" si="18"/>
        <v>0.93077408283492968</v>
      </c>
    </row>
    <row r="98" spans="1:16" ht="32.25" customHeight="1" x14ac:dyDescent="0.25">
      <c r="A98" s="18" t="s">
        <v>320</v>
      </c>
      <c r="B98" s="19" t="s">
        <v>132</v>
      </c>
      <c r="C98" s="19" t="s">
        <v>14</v>
      </c>
      <c r="D98" s="19" t="s">
        <v>132</v>
      </c>
      <c r="E98" s="19" t="s">
        <v>30</v>
      </c>
      <c r="F98" s="19" t="s">
        <v>64</v>
      </c>
      <c r="G98" s="19" t="s">
        <v>27</v>
      </c>
      <c r="H98" s="19" t="s">
        <v>34</v>
      </c>
      <c r="I98" s="19" t="s">
        <v>36</v>
      </c>
      <c r="J98" s="21" t="s">
        <v>136</v>
      </c>
      <c r="K98" s="21" t="s">
        <v>20</v>
      </c>
      <c r="L98" s="21" t="s">
        <v>53</v>
      </c>
      <c r="M98" s="17">
        <v>1000000</v>
      </c>
      <c r="N98" s="17">
        <v>990676.92</v>
      </c>
      <c r="O98" s="17">
        <v>990676.92</v>
      </c>
      <c r="P98" s="28">
        <f t="shared" si="18"/>
        <v>0.99067692000000007</v>
      </c>
    </row>
    <row r="99" spans="1:16" s="34" customFormat="1" ht="32.25" customHeight="1" x14ac:dyDescent="0.25">
      <c r="A99" s="29" t="s">
        <v>138</v>
      </c>
      <c r="B99" s="30" t="s">
        <v>132</v>
      </c>
      <c r="C99" s="30" t="s">
        <v>15</v>
      </c>
      <c r="D99" s="30" t="s">
        <v>0</v>
      </c>
      <c r="E99" s="30" t="s">
        <v>0</v>
      </c>
      <c r="F99" s="30" t="s">
        <v>0</v>
      </c>
      <c r="G99" s="30" t="s">
        <v>0</v>
      </c>
      <c r="H99" s="31" t="s">
        <v>0</v>
      </c>
      <c r="I99" s="31" t="s">
        <v>0</v>
      </c>
      <c r="J99" s="31" t="s">
        <v>0</v>
      </c>
      <c r="K99" s="31" t="s">
        <v>0</v>
      </c>
      <c r="L99" s="31" t="s">
        <v>0</v>
      </c>
      <c r="M99" s="32">
        <f t="shared" ref="M99:O106" si="26">M100</f>
        <v>3709099.7599999905</v>
      </c>
      <c r="N99" s="32">
        <f t="shared" si="26"/>
        <v>3709099.35</v>
      </c>
      <c r="O99" s="32">
        <f t="shared" si="26"/>
        <v>3709099.35</v>
      </c>
      <c r="P99" s="33">
        <f t="shared" si="18"/>
        <v>0.99999988946105067</v>
      </c>
    </row>
    <row r="100" spans="1:16" s="34" customFormat="1" ht="80.099999999999994" customHeight="1" x14ac:dyDescent="0.25">
      <c r="A100" s="29" t="s">
        <v>139</v>
      </c>
      <c r="B100" s="30" t="s">
        <v>132</v>
      </c>
      <c r="C100" s="30" t="s">
        <v>15</v>
      </c>
      <c r="D100" s="30" t="s">
        <v>140</v>
      </c>
      <c r="E100" s="30" t="s">
        <v>0</v>
      </c>
      <c r="F100" s="30" t="s">
        <v>0</v>
      </c>
      <c r="G100" s="30" t="s">
        <v>0</v>
      </c>
      <c r="H100" s="31" t="s">
        <v>0</v>
      </c>
      <c r="I100" s="31" t="s">
        <v>0</v>
      </c>
      <c r="J100" s="31" t="s">
        <v>0</v>
      </c>
      <c r="K100" s="31" t="s">
        <v>0</v>
      </c>
      <c r="L100" s="31" t="s">
        <v>0</v>
      </c>
      <c r="M100" s="32">
        <f t="shared" si="26"/>
        <v>3709099.7599999905</v>
      </c>
      <c r="N100" s="32">
        <f t="shared" si="26"/>
        <v>3709099.35</v>
      </c>
      <c r="O100" s="32">
        <f t="shared" si="26"/>
        <v>3709099.35</v>
      </c>
      <c r="P100" s="33">
        <f t="shared" si="18"/>
        <v>0.99999988946105067</v>
      </c>
    </row>
    <row r="101" spans="1:16" s="34" customFormat="1" ht="32.25" customHeight="1" x14ac:dyDescent="0.25">
      <c r="A101" s="29" t="s">
        <v>29</v>
      </c>
      <c r="B101" s="30" t="s">
        <v>132</v>
      </c>
      <c r="C101" s="30" t="s">
        <v>15</v>
      </c>
      <c r="D101" s="30" t="s">
        <v>140</v>
      </c>
      <c r="E101" s="30" t="s">
        <v>30</v>
      </c>
      <c r="F101" s="30" t="s">
        <v>0</v>
      </c>
      <c r="G101" s="30" t="s">
        <v>0</v>
      </c>
      <c r="H101" s="31" t="s">
        <v>0</v>
      </c>
      <c r="I101" s="31" t="s">
        <v>0</v>
      </c>
      <c r="J101" s="31" t="s">
        <v>0</v>
      </c>
      <c r="K101" s="31" t="s">
        <v>0</v>
      </c>
      <c r="L101" s="31" t="s">
        <v>0</v>
      </c>
      <c r="M101" s="32">
        <f t="shared" si="26"/>
        <v>3709099.7599999905</v>
      </c>
      <c r="N101" s="32">
        <f t="shared" si="26"/>
        <v>3709099.35</v>
      </c>
      <c r="O101" s="32">
        <f t="shared" si="26"/>
        <v>3709099.35</v>
      </c>
      <c r="P101" s="33">
        <f t="shared" si="18"/>
        <v>0.99999988946105067</v>
      </c>
    </row>
    <row r="102" spans="1:16" s="34" customFormat="1" ht="64.5" customHeight="1" x14ac:dyDescent="0.25">
      <c r="A102" s="29" t="s">
        <v>43</v>
      </c>
      <c r="B102" s="30" t="s">
        <v>132</v>
      </c>
      <c r="C102" s="30" t="s">
        <v>15</v>
      </c>
      <c r="D102" s="30" t="s">
        <v>140</v>
      </c>
      <c r="E102" s="30" t="s">
        <v>30</v>
      </c>
      <c r="F102" s="30" t="s">
        <v>0</v>
      </c>
      <c r="G102" s="30" t="s">
        <v>0</v>
      </c>
      <c r="H102" s="31" t="s">
        <v>0</v>
      </c>
      <c r="I102" s="31" t="s">
        <v>0</v>
      </c>
      <c r="J102" s="31" t="s">
        <v>0</v>
      </c>
      <c r="K102" s="31" t="s">
        <v>0</v>
      </c>
      <c r="L102" s="31" t="s">
        <v>0</v>
      </c>
      <c r="M102" s="32">
        <f t="shared" si="26"/>
        <v>3709099.7599999905</v>
      </c>
      <c r="N102" s="32">
        <f t="shared" si="26"/>
        <v>3709099.35</v>
      </c>
      <c r="O102" s="32">
        <f t="shared" si="26"/>
        <v>3709099.35</v>
      </c>
      <c r="P102" s="33">
        <f t="shared" si="18"/>
        <v>0.99999988946105067</v>
      </c>
    </row>
    <row r="103" spans="1:16" s="34" customFormat="1" ht="15" customHeight="1" x14ac:dyDescent="0.25">
      <c r="A103" s="35" t="s">
        <v>44</v>
      </c>
      <c r="B103" s="30" t="s">
        <v>132</v>
      </c>
      <c r="C103" s="30" t="s">
        <v>15</v>
      </c>
      <c r="D103" s="30" t="s">
        <v>140</v>
      </c>
      <c r="E103" s="30" t="s">
        <v>30</v>
      </c>
      <c r="F103" s="30" t="s">
        <v>45</v>
      </c>
      <c r="G103" s="30" t="s">
        <v>0</v>
      </c>
      <c r="H103" s="30" t="s">
        <v>0</v>
      </c>
      <c r="I103" s="30" t="s">
        <v>0</v>
      </c>
      <c r="J103" s="30" t="s">
        <v>0</v>
      </c>
      <c r="K103" s="30" t="s">
        <v>0</v>
      </c>
      <c r="L103" s="30" t="s">
        <v>0</v>
      </c>
      <c r="M103" s="32">
        <f t="shared" si="26"/>
        <v>3709099.7599999905</v>
      </c>
      <c r="N103" s="32">
        <f t="shared" si="26"/>
        <v>3709099.35</v>
      </c>
      <c r="O103" s="32">
        <f t="shared" si="26"/>
        <v>3709099.35</v>
      </c>
      <c r="P103" s="33">
        <f t="shared" si="18"/>
        <v>0.99999988946105067</v>
      </c>
    </row>
    <row r="104" spans="1:16" s="34" customFormat="1" ht="32.25" customHeight="1" x14ac:dyDescent="0.25">
      <c r="A104" s="35" t="s">
        <v>46</v>
      </c>
      <c r="B104" s="30" t="s">
        <v>132</v>
      </c>
      <c r="C104" s="30" t="s">
        <v>15</v>
      </c>
      <c r="D104" s="30" t="s">
        <v>140</v>
      </c>
      <c r="E104" s="30" t="s">
        <v>30</v>
      </c>
      <c r="F104" s="30" t="s">
        <v>45</v>
      </c>
      <c r="G104" s="30" t="s">
        <v>47</v>
      </c>
      <c r="H104" s="30" t="s">
        <v>0</v>
      </c>
      <c r="I104" s="30" t="s">
        <v>0</v>
      </c>
      <c r="J104" s="30" t="s">
        <v>0</v>
      </c>
      <c r="K104" s="30" t="s">
        <v>0</v>
      </c>
      <c r="L104" s="30" t="s">
        <v>0</v>
      </c>
      <c r="M104" s="32">
        <f t="shared" si="26"/>
        <v>3709099.7599999905</v>
      </c>
      <c r="N104" s="32">
        <f t="shared" si="26"/>
        <v>3709099.35</v>
      </c>
      <c r="O104" s="32">
        <f t="shared" si="26"/>
        <v>3709099.35</v>
      </c>
      <c r="P104" s="33">
        <f t="shared" si="18"/>
        <v>0.99999988946105067</v>
      </c>
    </row>
    <row r="105" spans="1:16" s="34" customFormat="1" ht="64.5" customHeight="1" x14ac:dyDescent="0.25">
      <c r="A105" s="29" t="s">
        <v>141</v>
      </c>
      <c r="B105" s="30" t="s">
        <v>132</v>
      </c>
      <c r="C105" s="30" t="s">
        <v>15</v>
      </c>
      <c r="D105" s="30" t="s">
        <v>140</v>
      </c>
      <c r="E105" s="30" t="s">
        <v>30</v>
      </c>
      <c r="F105" s="30" t="s">
        <v>45</v>
      </c>
      <c r="G105" s="30" t="s">
        <v>47</v>
      </c>
      <c r="H105" s="30" t="s">
        <v>142</v>
      </c>
      <c r="I105" s="31" t="s">
        <v>0</v>
      </c>
      <c r="J105" s="31" t="s">
        <v>0</v>
      </c>
      <c r="K105" s="31" t="s">
        <v>0</v>
      </c>
      <c r="L105" s="31" t="s">
        <v>0</v>
      </c>
      <c r="M105" s="32">
        <f t="shared" si="26"/>
        <v>3709099.7599999905</v>
      </c>
      <c r="N105" s="32">
        <f t="shared" si="26"/>
        <v>3709099.35</v>
      </c>
      <c r="O105" s="32">
        <f t="shared" si="26"/>
        <v>3709099.35</v>
      </c>
      <c r="P105" s="33">
        <f t="shared" si="18"/>
        <v>0.99999988946105067</v>
      </c>
    </row>
    <row r="106" spans="1:16" s="34" customFormat="1" ht="64.5" customHeight="1" x14ac:dyDescent="0.25">
      <c r="A106" s="29" t="s">
        <v>35</v>
      </c>
      <c r="B106" s="30" t="s">
        <v>132</v>
      </c>
      <c r="C106" s="30" t="s">
        <v>15</v>
      </c>
      <c r="D106" s="30" t="s">
        <v>140</v>
      </c>
      <c r="E106" s="30" t="s">
        <v>30</v>
      </c>
      <c r="F106" s="30" t="s">
        <v>45</v>
      </c>
      <c r="G106" s="30" t="s">
        <v>47</v>
      </c>
      <c r="H106" s="30" t="s">
        <v>142</v>
      </c>
      <c r="I106" s="30" t="s">
        <v>36</v>
      </c>
      <c r="J106" s="30" t="s">
        <v>0</v>
      </c>
      <c r="K106" s="30" t="s">
        <v>0</v>
      </c>
      <c r="L106" s="30" t="s">
        <v>0</v>
      </c>
      <c r="M106" s="32">
        <f>M107</f>
        <v>3709099.7599999905</v>
      </c>
      <c r="N106" s="32">
        <f t="shared" si="26"/>
        <v>3709099.35</v>
      </c>
      <c r="O106" s="32">
        <f t="shared" si="26"/>
        <v>3709099.35</v>
      </c>
      <c r="P106" s="33">
        <f t="shared" si="18"/>
        <v>0.99999988946105067</v>
      </c>
    </row>
    <row r="107" spans="1:16" ht="64.5" customHeight="1" x14ac:dyDescent="0.25">
      <c r="A107" s="18" t="s">
        <v>143</v>
      </c>
      <c r="B107" s="19" t="s">
        <v>132</v>
      </c>
      <c r="C107" s="19" t="s">
        <v>15</v>
      </c>
      <c r="D107" s="19" t="s">
        <v>140</v>
      </c>
      <c r="E107" s="19" t="s">
        <v>30</v>
      </c>
      <c r="F107" s="19" t="s">
        <v>45</v>
      </c>
      <c r="G107" s="19" t="s">
        <v>47</v>
      </c>
      <c r="H107" s="19" t="s">
        <v>142</v>
      </c>
      <c r="I107" s="19" t="s">
        <v>36</v>
      </c>
      <c r="J107" s="21" t="s">
        <v>51</v>
      </c>
      <c r="K107" s="21" t="s">
        <v>144</v>
      </c>
      <c r="L107" s="21">
        <v>2023</v>
      </c>
      <c r="M107" s="17">
        <f>200000000+3361460.7-199652360.94</f>
        <v>3709099.7599999905</v>
      </c>
      <c r="N107" s="17">
        <v>3709099.35</v>
      </c>
      <c r="O107" s="17">
        <v>3709099.35</v>
      </c>
      <c r="P107" s="28">
        <f t="shared" si="18"/>
        <v>0.99999988946105067</v>
      </c>
    </row>
    <row r="108" spans="1:16" s="34" customFormat="1" ht="64.5" customHeight="1" x14ac:dyDescent="0.25">
      <c r="A108" s="29" t="s">
        <v>341</v>
      </c>
      <c r="B108" s="30" t="s">
        <v>132</v>
      </c>
      <c r="C108" s="30">
        <v>6</v>
      </c>
      <c r="D108" s="30" t="s">
        <v>0</v>
      </c>
      <c r="E108" s="30" t="s">
        <v>0</v>
      </c>
      <c r="F108" s="30" t="s">
        <v>0</v>
      </c>
      <c r="G108" s="30" t="s">
        <v>0</v>
      </c>
      <c r="H108" s="31" t="s">
        <v>0</v>
      </c>
      <c r="I108" s="31" t="s">
        <v>0</v>
      </c>
      <c r="J108" s="31" t="s">
        <v>0</v>
      </c>
      <c r="K108" s="31" t="s">
        <v>0</v>
      </c>
      <c r="L108" s="31" t="s">
        <v>0</v>
      </c>
      <c r="M108" s="32">
        <f t="shared" ref="M108:O115" si="27">M109</f>
        <v>7355698.6799999997</v>
      </c>
      <c r="N108" s="32">
        <f t="shared" si="27"/>
        <v>7337698.6799999997</v>
      </c>
      <c r="O108" s="32">
        <f t="shared" si="27"/>
        <v>7337698.6799999997</v>
      </c>
      <c r="P108" s="33">
        <f t="shared" si="18"/>
        <v>0.99755291770597654</v>
      </c>
    </row>
    <row r="109" spans="1:16" s="34" customFormat="1" ht="31.2" x14ac:dyDescent="0.25">
      <c r="A109" s="29" t="s">
        <v>340</v>
      </c>
      <c r="B109" s="30" t="s">
        <v>132</v>
      </c>
      <c r="C109" s="30">
        <v>6</v>
      </c>
      <c r="D109" s="30">
        <v>15</v>
      </c>
      <c r="E109" s="30" t="s">
        <v>0</v>
      </c>
      <c r="F109" s="30" t="s">
        <v>0</v>
      </c>
      <c r="G109" s="30" t="s">
        <v>0</v>
      </c>
      <c r="H109" s="31" t="s">
        <v>0</v>
      </c>
      <c r="I109" s="31" t="s">
        <v>0</v>
      </c>
      <c r="J109" s="31" t="s">
        <v>0</v>
      </c>
      <c r="K109" s="31" t="s">
        <v>0</v>
      </c>
      <c r="L109" s="31" t="s">
        <v>0</v>
      </c>
      <c r="M109" s="32">
        <f t="shared" si="27"/>
        <v>7355698.6799999997</v>
      </c>
      <c r="N109" s="32">
        <f t="shared" si="27"/>
        <v>7337698.6799999997</v>
      </c>
      <c r="O109" s="32">
        <f t="shared" si="27"/>
        <v>7337698.6799999997</v>
      </c>
      <c r="P109" s="33">
        <f t="shared" si="18"/>
        <v>0.99755291770597654</v>
      </c>
    </row>
    <row r="110" spans="1:16" s="34" customFormat="1" ht="32.25" customHeight="1" x14ac:dyDescent="0.25">
      <c r="A110" s="29" t="s">
        <v>29</v>
      </c>
      <c r="B110" s="30" t="s">
        <v>132</v>
      </c>
      <c r="C110" s="30">
        <v>6</v>
      </c>
      <c r="D110" s="30">
        <v>15</v>
      </c>
      <c r="E110" s="30" t="s">
        <v>30</v>
      </c>
      <c r="F110" s="30" t="s">
        <v>0</v>
      </c>
      <c r="G110" s="30" t="s">
        <v>0</v>
      </c>
      <c r="H110" s="31" t="s">
        <v>0</v>
      </c>
      <c r="I110" s="31" t="s">
        <v>0</v>
      </c>
      <c r="J110" s="31" t="s">
        <v>0</v>
      </c>
      <c r="K110" s="31" t="s">
        <v>0</v>
      </c>
      <c r="L110" s="31" t="s">
        <v>0</v>
      </c>
      <c r="M110" s="32">
        <f t="shared" si="27"/>
        <v>7355698.6799999997</v>
      </c>
      <c r="N110" s="32">
        <f t="shared" si="27"/>
        <v>7337698.6799999997</v>
      </c>
      <c r="O110" s="32">
        <f t="shared" si="27"/>
        <v>7337698.6799999997</v>
      </c>
      <c r="P110" s="33">
        <f t="shared" si="18"/>
        <v>0.99755291770597654</v>
      </c>
    </row>
    <row r="111" spans="1:16" s="34" customFormat="1" ht="80.099999999999994" customHeight="1" x14ac:dyDescent="0.25">
      <c r="A111" s="29" t="s">
        <v>31</v>
      </c>
      <c r="B111" s="30" t="s">
        <v>132</v>
      </c>
      <c r="C111" s="30">
        <v>6</v>
      </c>
      <c r="D111" s="30">
        <v>15</v>
      </c>
      <c r="E111" s="30" t="s">
        <v>30</v>
      </c>
      <c r="F111" s="30" t="s">
        <v>0</v>
      </c>
      <c r="G111" s="30" t="s">
        <v>0</v>
      </c>
      <c r="H111" s="31" t="s">
        <v>0</v>
      </c>
      <c r="I111" s="31" t="s">
        <v>0</v>
      </c>
      <c r="J111" s="31" t="s">
        <v>0</v>
      </c>
      <c r="K111" s="31" t="s">
        <v>0</v>
      </c>
      <c r="L111" s="31" t="s">
        <v>0</v>
      </c>
      <c r="M111" s="32">
        <f t="shared" si="27"/>
        <v>7355698.6799999997</v>
      </c>
      <c r="N111" s="32">
        <f t="shared" si="27"/>
        <v>7337698.6799999997</v>
      </c>
      <c r="O111" s="32">
        <f t="shared" si="27"/>
        <v>7337698.6799999997</v>
      </c>
      <c r="P111" s="33">
        <f t="shared" si="18"/>
        <v>0.99755291770597654</v>
      </c>
    </row>
    <row r="112" spans="1:16" s="34" customFormat="1" ht="15" customHeight="1" x14ac:dyDescent="0.25">
      <c r="A112" s="35" t="s">
        <v>63</v>
      </c>
      <c r="B112" s="30" t="s">
        <v>132</v>
      </c>
      <c r="C112" s="30">
        <v>6</v>
      </c>
      <c r="D112" s="30">
        <v>15</v>
      </c>
      <c r="E112" s="30" t="s">
        <v>30</v>
      </c>
      <c r="F112" s="30" t="s">
        <v>64</v>
      </c>
      <c r="G112" s="30" t="s">
        <v>0</v>
      </c>
      <c r="H112" s="30" t="s">
        <v>0</v>
      </c>
      <c r="I112" s="30" t="s">
        <v>0</v>
      </c>
      <c r="J112" s="30" t="s">
        <v>0</v>
      </c>
      <c r="K112" s="30" t="s">
        <v>0</v>
      </c>
      <c r="L112" s="30" t="s">
        <v>0</v>
      </c>
      <c r="M112" s="32">
        <f t="shared" si="27"/>
        <v>7355698.6799999997</v>
      </c>
      <c r="N112" s="32">
        <f t="shared" si="27"/>
        <v>7337698.6799999997</v>
      </c>
      <c r="O112" s="32">
        <f t="shared" si="27"/>
        <v>7337698.6799999997</v>
      </c>
      <c r="P112" s="33">
        <f t="shared" si="18"/>
        <v>0.99755291770597654</v>
      </c>
    </row>
    <row r="113" spans="1:16" s="34" customFormat="1" ht="15" customHeight="1" x14ac:dyDescent="0.25">
      <c r="A113" s="35" t="s">
        <v>65</v>
      </c>
      <c r="B113" s="30" t="s">
        <v>132</v>
      </c>
      <c r="C113" s="30">
        <v>6</v>
      </c>
      <c r="D113" s="30">
        <v>15</v>
      </c>
      <c r="E113" s="30" t="s">
        <v>30</v>
      </c>
      <c r="F113" s="30" t="s">
        <v>64</v>
      </c>
      <c r="G113" s="30" t="s">
        <v>27</v>
      </c>
      <c r="H113" s="30" t="s">
        <v>0</v>
      </c>
      <c r="I113" s="30" t="s">
        <v>0</v>
      </c>
      <c r="J113" s="30" t="s">
        <v>0</v>
      </c>
      <c r="K113" s="30" t="s">
        <v>0</v>
      </c>
      <c r="L113" s="30" t="s">
        <v>0</v>
      </c>
      <c r="M113" s="32">
        <f t="shared" si="27"/>
        <v>7355698.6799999997</v>
      </c>
      <c r="N113" s="32">
        <f t="shared" si="27"/>
        <v>7337698.6799999997</v>
      </c>
      <c r="O113" s="32">
        <f t="shared" si="27"/>
        <v>7337698.6799999997</v>
      </c>
      <c r="P113" s="33">
        <f t="shared" si="18"/>
        <v>0.99755291770597654</v>
      </c>
    </row>
    <row r="114" spans="1:16" s="34" customFormat="1" ht="48.9" customHeight="1" x14ac:dyDescent="0.25">
      <c r="A114" s="29" t="s">
        <v>33</v>
      </c>
      <c r="B114" s="30" t="s">
        <v>132</v>
      </c>
      <c r="C114" s="30">
        <v>6</v>
      </c>
      <c r="D114" s="30">
        <v>15</v>
      </c>
      <c r="E114" s="30" t="s">
        <v>30</v>
      </c>
      <c r="F114" s="30" t="s">
        <v>64</v>
      </c>
      <c r="G114" s="30" t="s">
        <v>27</v>
      </c>
      <c r="H114" s="30" t="s">
        <v>34</v>
      </c>
      <c r="I114" s="31" t="s">
        <v>0</v>
      </c>
      <c r="J114" s="31" t="s">
        <v>0</v>
      </c>
      <c r="K114" s="31" t="s">
        <v>0</v>
      </c>
      <c r="L114" s="31" t="s">
        <v>0</v>
      </c>
      <c r="M114" s="32">
        <f t="shared" si="27"/>
        <v>7355698.6799999997</v>
      </c>
      <c r="N114" s="32">
        <f t="shared" si="27"/>
        <v>7337698.6799999997</v>
      </c>
      <c r="O114" s="32">
        <f t="shared" si="27"/>
        <v>7337698.6799999997</v>
      </c>
      <c r="P114" s="33">
        <f t="shared" si="18"/>
        <v>0.99755291770597654</v>
      </c>
    </row>
    <row r="115" spans="1:16" s="34" customFormat="1" ht="64.5" customHeight="1" x14ac:dyDescent="0.25">
      <c r="A115" s="29" t="s">
        <v>35</v>
      </c>
      <c r="B115" s="30" t="s">
        <v>132</v>
      </c>
      <c r="C115" s="30">
        <v>6</v>
      </c>
      <c r="D115" s="30">
        <v>15</v>
      </c>
      <c r="E115" s="30" t="s">
        <v>30</v>
      </c>
      <c r="F115" s="30" t="s">
        <v>64</v>
      </c>
      <c r="G115" s="30" t="s">
        <v>27</v>
      </c>
      <c r="H115" s="30" t="s">
        <v>34</v>
      </c>
      <c r="I115" s="30" t="s">
        <v>36</v>
      </c>
      <c r="J115" s="30" t="s">
        <v>0</v>
      </c>
      <c r="K115" s="30" t="s">
        <v>0</v>
      </c>
      <c r="L115" s="30" t="s">
        <v>0</v>
      </c>
      <c r="M115" s="32">
        <f t="shared" si="27"/>
        <v>7355698.6799999997</v>
      </c>
      <c r="N115" s="32">
        <f t="shared" si="27"/>
        <v>7337698.6799999997</v>
      </c>
      <c r="O115" s="32">
        <f t="shared" si="27"/>
        <v>7337698.6799999997</v>
      </c>
      <c r="P115" s="33">
        <f t="shared" si="18"/>
        <v>0.99755291770597654</v>
      </c>
    </row>
    <row r="116" spans="1:16" ht="62.4" x14ac:dyDescent="0.25">
      <c r="A116" s="18" t="s">
        <v>339</v>
      </c>
      <c r="B116" s="19" t="s">
        <v>132</v>
      </c>
      <c r="C116" s="19">
        <v>6</v>
      </c>
      <c r="D116" s="19">
        <v>15</v>
      </c>
      <c r="E116" s="19" t="s">
        <v>30</v>
      </c>
      <c r="F116" s="19" t="s">
        <v>64</v>
      </c>
      <c r="G116" s="19" t="s">
        <v>27</v>
      </c>
      <c r="H116" s="19" t="s">
        <v>34</v>
      </c>
      <c r="I116" s="19" t="s">
        <v>36</v>
      </c>
      <c r="J116" s="21" t="s">
        <v>239</v>
      </c>
      <c r="K116" s="21">
        <v>1</v>
      </c>
      <c r="L116" s="21" t="s">
        <v>53</v>
      </c>
      <c r="M116" s="17">
        <f>7000000+607624-251925.32</f>
        <v>7355698.6799999997</v>
      </c>
      <c r="N116" s="17">
        <v>7337698.6799999997</v>
      </c>
      <c r="O116" s="17">
        <v>7337698.6799999997</v>
      </c>
      <c r="P116" s="28">
        <f t="shared" si="18"/>
        <v>0.99755291770597654</v>
      </c>
    </row>
    <row r="117" spans="1:16" s="34" customFormat="1" ht="32.25" customHeight="1" x14ac:dyDescent="0.25">
      <c r="A117" s="29" t="s">
        <v>145</v>
      </c>
      <c r="B117" s="30" t="s">
        <v>146</v>
      </c>
      <c r="C117" s="30" t="s">
        <v>0</v>
      </c>
      <c r="D117" s="30" t="s">
        <v>0</v>
      </c>
      <c r="E117" s="30" t="s">
        <v>0</v>
      </c>
      <c r="F117" s="30" t="s">
        <v>0</v>
      </c>
      <c r="G117" s="30" t="s">
        <v>0</v>
      </c>
      <c r="H117" s="31" t="s">
        <v>0</v>
      </c>
      <c r="I117" s="31" t="s">
        <v>0</v>
      </c>
      <c r="J117" s="31" t="s">
        <v>0</v>
      </c>
      <c r="K117" s="31" t="s">
        <v>0</v>
      </c>
      <c r="L117" s="31" t="s">
        <v>0</v>
      </c>
      <c r="M117" s="32">
        <f>M118+M133</f>
        <v>975093245.44000006</v>
      </c>
      <c r="N117" s="32">
        <f t="shared" ref="N117:O117" si="28">N118+N133</f>
        <v>954593191.63</v>
      </c>
      <c r="O117" s="32">
        <f t="shared" si="28"/>
        <v>954593191.63</v>
      </c>
      <c r="P117" s="33">
        <f t="shared" si="18"/>
        <v>0.97897631441314148</v>
      </c>
    </row>
    <row r="118" spans="1:16" s="34" customFormat="1" ht="32.25" customHeight="1" x14ac:dyDescent="0.25">
      <c r="A118" s="29" t="s">
        <v>147</v>
      </c>
      <c r="B118" s="30" t="s">
        <v>146</v>
      </c>
      <c r="C118" s="30" t="s">
        <v>28</v>
      </c>
      <c r="D118" s="30" t="s">
        <v>70</v>
      </c>
      <c r="E118" s="30" t="s">
        <v>0</v>
      </c>
      <c r="F118" s="30" t="s">
        <v>0</v>
      </c>
      <c r="G118" s="30" t="s">
        <v>0</v>
      </c>
      <c r="H118" s="31" t="s">
        <v>0</v>
      </c>
      <c r="I118" s="31" t="s">
        <v>0</v>
      </c>
      <c r="J118" s="31" t="s">
        <v>0</v>
      </c>
      <c r="K118" s="31" t="s">
        <v>0</v>
      </c>
      <c r="L118" s="31" t="s">
        <v>0</v>
      </c>
      <c r="M118" s="32">
        <f>M119+M126</f>
        <v>101373779.59</v>
      </c>
      <c r="N118" s="32">
        <f t="shared" ref="N118:O118" si="29">N119+N126</f>
        <v>91628425.450000003</v>
      </c>
      <c r="O118" s="32">
        <f t="shared" si="29"/>
        <v>91628425.450000003</v>
      </c>
      <c r="P118" s="33">
        <f t="shared" si="18"/>
        <v>0.90386711258656349</v>
      </c>
    </row>
    <row r="119" spans="1:16" s="34" customFormat="1" ht="32.25" customHeight="1" x14ac:dyDescent="0.25">
      <c r="A119" s="29" t="s">
        <v>29</v>
      </c>
      <c r="B119" s="30" t="s">
        <v>146</v>
      </c>
      <c r="C119" s="30" t="s">
        <v>28</v>
      </c>
      <c r="D119" s="30" t="s">
        <v>70</v>
      </c>
      <c r="E119" s="30" t="s">
        <v>30</v>
      </c>
      <c r="F119" s="30" t="s">
        <v>0</v>
      </c>
      <c r="G119" s="30" t="s">
        <v>0</v>
      </c>
      <c r="H119" s="31" t="s">
        <v>0</v>
      </c>
      <c r="I119" s="31" t="s">
        <v>0</v>
      </c>
      <c r="J119" s="31" t="s">
        <v>0</v>
      </c>
      <c r="K119" s="31" t="s">
        <v>0</v>
      </c>
      <c r="L119" s="31" t="s">
        <v>0</v>
      </c>
      <c r="M119" s="32">
        <f t="shared" ref="M119:O124" si="30">M120</f>
        <v>100569541.59</v>
      </c>
      <c r="N119" s="32">
        <f t="shared" si="30"/>
        <v>90824187.450000003</v>
      </c>
      <c r="O119" s="32">
        <f t="shared" si="30"/>
        <v>90824187.450000003</v>
      </c>
      <c r="P119" s="33">
        <f t="shared" si="18"/>
        <v>0.90309835377663672</v>
      </c>
    </row>
    <row r="120" spans="1:16" s="34" customFormat="1" ht="80.099999999999994" customHeight="1" x14ac:dyDescent="0.25">
      <c r="A120" s="29" t="s">
        <v>31</v>
      </c>
      <c r="B120" s="30" t="s">
        <v>146</v>
      </c>
      <c r="C120" s="30" t="s">
        <v>28</v>
      </c>
      <c r="D120" s="30" t="s">
        <v>70</v>
      </c>
      <c r="E120" s="30" t="s">
        <v>30</v>
      </c>
      <c r="F120" s="30" t="s">
        <v>0</v>
      </c>
      <c r="G120" s="30" t="s">
        <v>0</v>
      </c>
      <c r="H120" s="31" t="s">
        <v>0</v>
      </c>
      <c r="I120" s="31" t="s">
        <v>0</v>
      </c>
      <c r="J120" s="31" t="s">
        <v>0</v>
      </c>
      <c r="K120" s="31" t="s">
        <v>0</v>
      </c>
      <c r="L120" s="31" t="s">
        <v>0</v>
      </c>
      <c r="M120" s="32">
        <f t="shared" si="30"/>
        <v>100569541.59</v>
      </c>
      <c r="N120" s="32">
        <f t="shared" si="30"/>
        <v>90824187.450000003</v>
      </c>
      <c r="O120" s="32">
        <f t="shared" si="30"/>
        <v>90824187.450000003</v>
      </c>
      <c r="P120" s="33">
        <f t="shared" si="18"/>
        <v>0.90309835377663672</v>
      </c>
    </row>
    <row r="121" spans="1:16" s="34" customFormat="1" ht="15" customHeight="1" x14ac:dyDescent="0.25">
      <c r="A121" s="35" t="s">
        <v>148</v>
      </c>
      <c r="B121" s="30" t="s">
        <v>146</v>
      </c>
      <c r="C121" s="30" t="s">
        <v>28</v>
      </c>
      <c r="D121" s="30" t="s">
        <v>70</v>
      </c>
      <c r="E121" s="30" t="s">
        <v>30</v>
      </c>
      <c r="F121" s="30" t="s">
        <v>23</v>
      </c>
      <c r="G121" s="30" t="s">
        <v>0</v>
      </c>
      <c r="H121" s="30" t="s">
        <v>0</v>
      </c>
      <c r="I121" s="30" t="s">
        <v>0</v>
      </c>
      <c r="J121" s="30" t="s">
        <v>0</v>
      </c>
      <c r="K121" s="30" t="s">
        <v>0</v>
      </c>
      <c r="L121" s="30" t="s">
        <v>0</v>
      </c>
      <c r="M121" s="32">
        <f t="shared" si="30"/>
        <v>100569541.59</v>
      </c>
      <c r="N121" s="32">
        <f t="shared" si="30"/>
        <v>90824187.450000003</v>
      </c>
      <c r="O121" s="32">
        <f t="shared" si="30"/>
        <v>90824187.450000003</v>
      </c>
      <c r="P121" s="33">
        <f t="shared" si="18"/>
        <v>0.90309835377663672</v>
      </c>
    </row>
    <row r="122" spans="1:16" s="34" customFormat="1" ht="15" customHeight="1" x14ac:dyDescent="0.25">
      <c r="A122" s="35" t="s">
        <v>149</v>
      </c>
      <c r="B122" s="30" t="s">
        <v>146</v>
      </c>
      <c r="C122" s="30" t="s">
        <v>28</v>
      </c>
      <c r="D122" s="30" t="s">
        <v>70</v>
      </c>
      <c r="E122" s="30" t="s">
        <v>30</v>
      </c>
      <c r="F122" s="30" t="s">
        <v>23</v>
      </c>
      <c r="G122" s="30" t="s">
        <v>27</v>
      </c>
      <c r="H122" s="30" t="s">
        <v>0</v>
      </c>
      <c r="I122" s="30" t="s">
        <v>0</v>
      </c>
      <c r="J122" s="30" t="s">
        <v>0</v>
      </c>
      <c r="K122" s="30" t="s">
        <v>0</v>
      </c>
      <c r="L122" s="30" t="s">
        <v>0</v>
      </c>
      <c r="M122" s="32">
        <f t="shared" si="30"/>
        <v>100569541.59</v>
      </c>
      <c r="N122" s="32">
        <f t="shared" si="30"/>
        <v>90824187.450000003</v>
      </c>
      <c r="O122" s="32">
        <f t="shared" si="30"/>
        <v>90824187.450000003</v>
      </c>
      <c r="P122" s="33">
        <f t="shared" si="18"/>
        <v>0.90309835377663672</v>
      </c>
    </row>
    <row r="123" spans="1:16" s="34" customFormat="1" ht="48.9" customHeight="1" x14ac:dyDescent="0.25">
      <c r="A123" s="29" t="s">
        <v>33</v>
      </c>
      <c r="B123" s="30" t="s">
        <v>146</v>
      </c>
      <c r="C123" s="30" t="s">
        <v>28</v>
      </c>
      <c r="D123" s="30" t="s">
        <v>70</v>
      </c>
      <c r="E123" s="30" t="s">
        <v>30</v>
      </c>
      <c r="F123" s="30" t="s">
        <v>23</v>
      </c>
      <c r="G123" s="30" t="s">
        <v>27</v>
      </c>
      <c r="H123" s="30" t="s">
        <v>34</v>
      </c>
      <c r="I123" s="31" t="s">
        <v>0</v>
      </c>
      <c r="J123" s="31" t="s">
        <v>0</v>
      </c>
      <c r="K123" s="31" t="s">
        <v>0</v>
      </c>
      <c r="L123" s="31" t="s">
        <v>0</v>
      </c>
      <c r="M123" s="32">
        <f t="shared" si="30"/>
        <v>100569541.59</v>
      </c>
      <c r="N123" s="32">
        <f t="shared" si="30"/>
        <v>90824187.450000003</v>
      </c>
      <c r="O123" s="32">
        <f t="shared" si="30"/>
        <v>90824187.450000003</v>
      </c>
      <c r="P123" s="33">
        <f t="shared" si="18"/>
        <v>0.90309835377663672</v>
      </c>
    </row>
    <row r="124" spans="1:16" s="34" customFormat="1" ht="64.5" customHeight="1" x14ac:dyDescent="0.25">
      <c r="A124" s="29" t="s">
        <v>35</v>
      </c>
      <c r="B124" s="30" t="s">
        <v>146</v>
      </c>
      <c r="C124" s="30" t="s">
        <v>28</v>
      </c>
      <c r="D124" s="30" t="s">
        <v>70</v>
      </c>
      <c r="E124" s="30" t="s">
        <v>30</v>
      </c>
      <c r="F124" s="30" t="s">
        <v>23</v>
      </c>
      <c r="G124" s="30" t="s">
        <v>27</v>
      </c>
      <c r="H124" s="30" t="s">
        <v>34</v>
      </c>
      <c r="I124" s="30" t="s">
        <v>36</v>
      </c>
      <c r="J124" s="30" t="s">
        <v>0</v>
      </c>
      <c r="K124" s="30" t="s">
        <v>0</v>
      </c>
      <c r="L124" s="30" t="s">
        <v>0</v>
      </c>
      <c r="M124" s="32">
        <f t="shared" si="30"/>
        <v>100569541.59</v>
      </c>
      <c r="N124" s="32">
        <f t="shared" si="30"/>
        <v>90824187.450000003</v>
      </c>
      <c r="O124" s="32">
        <f t="shared" si="30"/>
        <v>90824187.450000003</v>
      </c>
      <c r="P124" s="33">
        <f t="shared" si="18"/>
        <v>0.90309835377663672</v>
      </c>
    </row>
    <row r="125" spans="1:16" ht="48.9" customHeight="1" x14ac:dyDescent="0.25">
      <c r="A125" s="18" t="s">
        <v>150</v>
      </c>
      <c r="B125" s="19" t="s">
        <v>146</v>
      </c>
      <c r="C125" s="19" t="s">
        <v>28</v>
      </c>
      <c r="D125" s="19" t="s">
        <v>70</v>
      </c>
      <c r="E125" s="19" t="s">
        <v>30</v>
      </c>
      <c r="F125" s="19" t="s">
        <v>23</v>
      </c>
      <c r="G125" s="19" t="s">
        <v>27</v>
      </c>
      <c r="H125" s="19" t="s">
        <v>34</v>
      </c>
      <c r="I125" s="19" t="s">
        <v>36</v>
      </c>
      <c r="J125" s="21" t="s">
        <v>151</v>
      </c>
      <c r="K125" s="21" t="s">
        <v>152</v>
      </c>
      <c r="L125" s="21">
        <v>2021</v>
      </c>
      <c r="M125" s="17">
        <f>40000000+12569541.59+40000000+8000000</f>
        <v>100569541.59</v>
      </c>
      <c r="N125" s="17">
        <v>90824187.450000003</v>
      </c>
      <c r="O125" s="17">
        <v>90824187.450000003</v>
      </c>
      <c r="P125" s="28">
        <f t="shared" si="18"/>
        <v>0.90309835377663672</v>
      </c>
    </row>
    <row r="126" spans="1:16" s="34" customFormat="1" ht="32.25" customHeight="1" x14ac:dyDescent="0.25">
      <c r="A126" s="29" t="s">
        <v>153</v>
      </c>
      <c r="B126" s="30" t="s">
        <v>146</v>
      </c>
      <c r="C126" s="30" t="s">
        <v>28</v>
      </c>
      <c r="D126" s="30" t="s">
        <v>70</v>
      </c>
      <c r="E126" s="30" t="s">
        <v>154</v>
      </c>
      <c r="F126" s="30" t="s">
        <v>0</v>
      </c>
      <c r="G126" s="30" t="s">
        <v>0</v>
      </c>
      <c r="H126" s="31" t="s">
        <v>0</v>
      </c>
      <c r="I126" s="31" t="s">
        <v>0</v>
      </c>
      <c r="J126" s="31" t="s">
        <v>0</v>
      </c>
      <c r="K126" s="31" t="s">
        <v>0</v>
      </c>
      <c r="L126" s="31" t="s">
        <v>0</v>
      </c>
      <c r="M126" s="32">
        <f t="shared" ref="M126:O131" si="31">M127</f>
        <v>804238</v>
      </c>
      <c r="N126" s="32">
        <f t="shared" si="31"/>
        <v>804238</v>
      </c>
      <c r="O126" s="32">
        <f t="shared" si="31"/>
        <v>804238</v>
      </c>
      <c r="P126" s="33">
        <f t="shared" si="18"/>
        <v>1</v>
      </c>
    </row>
    <row r="127" spans="1:16" s="34" customFormat="1" ht="64.5" customHeight="1" x14ac:dyDescent="0.25">
      <c r="A127" s="29" t="s">
        <v>155</v>
      </c>
      <c r="B127" s="30" t="s">
        <v>146</v>
      </c>
      <c r="C127" s="30" t="s">
        <v>28</v>
      </c>
      <c r="D127" s="30" t="s">
        <v>70</v>
      </c>
      <c r="E127" s="30" t="s">
        <v>154</v>
      </c>
      <c r="F127" s="30" t="s">
        <v>0</v>
      </c>
      <c r="G127" s="30" t="s">
        <v>0</v>
      </c>
      <c r="H127" s="31" t="s">
        <v>0</v>
      </c>
      <c r="I127" s="31" t="s">
        <v>0</v>
      </c>
      <c r="J127" s="31" t="s">
        <v>0</v>
      </c>
      <c r="K127" s="31" t="s">
        <v>0</v>
      </c>
      <c r="L127" s="31" t="s">
        <v>0</v>
      </c>
      <c r="M127" s="32">
        <f t="shared" si="31"/>
        <v>804238</v>
      </c>
      <c r="N127" s="32">
        <f t="shared" si="31"/>
        <v>804238</v>
      </c>
      <c r="O127" s="32">
        <f t="shared" si="31"/>
        <v>804238</v>
      </c>
      <c r="P127" s="33">
        <f t="shared" si="18"/>
        <v>1</v>
      </c>
    </row>
    <row r="128" spans="1:16" s="34" customFormat="1" ht="15" customHeight="1" x14ac:dyDescent="0.25">
      <c r="A128" s="35" t="s">
        <v>148</v>
      </c>
      <c r="B128" s="30" t="s">
        <v>146</v>
      </c>
      <c r="C128" s="30" t="s">
        <v>28</v>
      </c>
      <c r="D128" s="30" t="s">
        <v>70</v>
      </c>
      <c r="E128" s="30" t="s">
        <v>154</v>
      </c>
      <c r="F128" s="30" t="s">
        <v>23</v>
      </c>
      <c r="G128" s="30" t="s">
        <v>0</v>
      </c>
      <c r="H128" s="30" t="s">
        <v>0</v>
      </c>
      <c r="I128" s="30" t="s">
        <v>0</v>
      </c>
      <c r="J128" s="30" t="s">
        <v>0</v>
      </c>
      <c r="K128" s="30" t="s">
        <v>0</v>
      </c>
      <c r="L128" s="30" t="s">
        <v>0</v>
      </c>
      <c r="M128" s="32">
        <f t="shared" si="31"/>
        <v>804238</v>
      </c>
      <c r="N128" s="32">
        <f t="shared" si="31"/>
        <v>804238</v>
      </c>
      <c r="O128" s="32">
        <f t="shared" si="31"/>
        <v>804238</v>
      </c>
      <c r="P128" s="33">
        <f t="shared" si="18"/>
        <v>1</v>
      </c>
    </row>
    <row r="129" spans="1:16" s="34" customFormat="1" ht="15" customHeight="1" x14ac:dyDescent="0.25">
      <c r="A129" s="35" t="s">
        <v>149</v>
      </c>
      <c r="B129" s="30" t="s">
        <v>146</v>
      </c>
      <c r="C129" s="30" t="s">
        <v>28</v>
      </c>
      <c r="D129" s="30" t="s">
        <v>70</v>
      </c>
      <c r="E129" s="30" t="s">
        <v>154</v>
      </c>
      <c r="F129" s="30" t="s">
        <v>23</v>
      </c>
      <c r="G129" s="30" t="s">
        <v>27</v>
      </c>
      <c r="H129" s="30" t="s">
        <v>0</v>
      </c>
      <c r="I129" s="30" t="s">
        <v>0</v>
      </c>
      <c r="J129" s="30" t="s">
        <v>0</v>
      </c>
      <c r="K129" s="30" t="s">
        <v>0</v>
      </c>
      <c r="L129" s="30" t="s">
        <v>0</v>
      </c>
      <c r="M129" s="32">
        <f t="shared" si="31"/>
        <v>804238</v>
      </c>
      <c r="N129" s="32">
        <f t="shared" si="31"/>
        <v>804238</v>
      </c>
      <c r="O129" s="32">
        <f t="shared" si="31"/>
        <v>804238</v>
      </c>
      <c r="P129" s="33">
        <f t="shared" si="18"/>
        <v>1</v>
      </c>
    </row>
    <row r="130" spans="1:16" s="34" customFormat="1" ht="48.9" customHeight="1" x14ac:dyDescent="0.25">
      <c r="A130" s="29" t="s">
        <v>33</v>
      </c>
      <c r="B130" s="30" t="s">
        <v>146</v>
      </c>
      <c r="C130" s="30" t="s">
        <v>28</v>
      </c>
      <c r="D130" s="30" t="s">
        <v>70</v>
      </c>
      <c r="E130" s="30" t="s">
        <v>154</v>
      </c>
      <c r="F130" s="30" t="s">
        <v>23</v>
      </c>
      <c r="G130" s="30" t="s">
        <v>27</v>
      </c>
      <c r="H130" s="30" t="s">
        <v>34</v>
      </c>
      <c r="I130" s="31" t="s">
        <v>0</v>
      </c>
      <c r="J130" s="31" t="s">
        <v>0</v>
      </c>
      <c r="K130" s="31" t="s">
        <v>0</v>
      </c>
      <c r="L130" s="31" t="s">
        <v>0</v>
      </c>
      <c r="M130" s="32">
        <f t="shared" si="31"/>
        <v>804238</v>
      </c>
      <c r="N130" s="32">
        <f t="shared" si="31"/>
        <v>804238</v>
      </c>
      <c r="O130" s="32">
        <f t="shared" si="31"/>
        <v>804238</v>
      </c>
      <c r="P130" s="33">
        <f t="shared" si="18"/>
        <v>1</v>
      </c>
    </row>
    <row r="131" spans="1:16" s="34" customFormat="1" ht="96.6" customHeight="1" x14ac:dyDescent="0.25">
      <c r="A131" s="29" t="s">
        <v>120</v>
      </c>
      <c r="B131" s="30" t="s">
        <v>146</v>
      </c>
      <c r="C131" s="30" t="s">
        <v>28</v>
      </c>
      <c r="D131" s="30" t="s">
        <v>70</v>
      </c>
      <c r="E131" s="30" t="s">
        <v>154</v>
      </c>
      <c r="F131" s="30" t="s">
        <v>23</v>
      </c>
      <c r="G131" s="30" t="s">
        <v>27</v>
      </c>
      <c r="H131" s="30" t="s">
        <v>34</v>
      </c>
      <c r="I131" s="30" t="s">
        <v>121</v>
      </c>
      <c r="J131" s="30" t="s">
        <v>0</v>
      </c>
      <c r="K131" s="30" t="s">
        <v>0</v>
      </c>
      <c r="L131" s="30" t="s">
        <v>0</v>
      </c>
      <c r="M131" s="32">
        <f t="shared" si="31"/>
        <v>804238</v>
      </c>
      <c r="N131" s="32">
        <f t="shared" si="31"/>
        <v>804238</v>
      </c>
      <c r="O131" s="32">
        <f t="shared" si="31"/>
        <v>804238</v>
      </c>
      <c r="P131" s="33">
        <f t="shared" si="18"/>
        <v>1</v>
      </c>
    </row>
    <row r="132" spans="1:16" ht="64.5" customHeight="1" x14ac:dyDescent="0.25">
      <c r="A132" s="18" t="s">
        <v>156</v>
      </c>
      <c r="B132" s="19" t="s">
        <v>146</v>
      </c>
      <c r="C132" s="19" t="s">
        <v>28</v>
      </c>
      <c r="D132" s="19" t="s">
        <v>70</v>
      </c>
      <c r="E132" s="19" t="s">
        <v>154</v>
      </c>
      <c r="F132" s="19" t="s">
        <v>23</v>
      </c>
      <c r="G132" s="19" t="s">
        <v>27</v>
      </c>
      <c r="H132" s="19" t="s">
        <v>34</v>
      </c>
      <c r="I132" s="19" t="s">
        <v>121</v>
      </c>
      <c r="J132" s="21" t="s">
        <v>157</v>
      </c>
      <c r="K132" s="21" t="s">
        <v>16</v>
      </c>
      <c r="L132" s="21" t="s">
        <v>53</v>
      </c>
      <c r="M132" s="17">
        <v>804238</v>
      </c>
      <c r="N132" s="17">
        <v>804238</v>
      </c>
      <c r="O132" s="17">
        <v>804238</v>
      </c>
      <c r="P132" s="28">
        <f t="shared" si="18"/>
        <v>1</v>
      </c>
    </row>
    <row r="133" spans="1:16" s="34" customFormat="1" ht="48.9" customHeight="1" x14ac:dyDescent="0.25">
      <c r="A133" s="29" t="s">
        <v>158</v>
      </c>
      <c r="B133" s="30" t="s">
        <v>146</v>
      </c>
      <c r="C133" s="30" t="s">
        <v>13</v>
      </c>
      <c r="D133" s="30" t="s">
        <v>0</v>
      </c>
      <c r="E133" s="30" t="s">
        <v>0</v>
      </c>
      <c r="F133" s="30" t="s">
        <v>0</v>
      </c>
      <c r="G133" s="30" t="s">
        <v>0</v>
      </c>
      <c r="H133" s="31" t="s">
        <v>0</v>
      </c>
      <c r="I133" s="31" t="s">
        <v>0</v>
      </c>
      <c r="J133" s="31" t="s">
        <v>0</v>
      </c>
      <c r="K133" s="31" t="s">
        <v>0</v>
      </c>
      <c r="L133" s="31" t="s">
        <v>0</v>
      </c>
      <c r="M133" s="32">
        <f>M134</f>
        <v>873719465.85000002</v>
      </c>
      <c r="N133" s="32">
        <f t="shared" ref="N133:O137" si="32">N134</f>
        <v>862964766.17999995</v>
      </c>
      <c r="O133" s="32">
        <f t="shared" si="32"/>
        <v>862964766.17999995</v>
      </c>
      <c r="P133" s="33">
        <f t="shared" si="18"/>
        <v>0.98769090069483878</v>
      </c>
    </row>
    <row r="134" spans="1:16" s="34" customFormat="1" ht="32.25" customHeight="1" x14ac:dyDescent="0.25">
      <c r="A134" s="29" t="s">
        <v>159</v>
      </c>
      <c r="B134" s="30" t="s">
        <v>146</v>
      </c>
      <c r="C134" s="30" t="s">
        <v>13</v>
      </c>
      <c r="D134" s="30" t="s">
        <v>160</v>
      </c>
      <c r="E134" s="30" t="s">
        <v>0</v>
      </c>
      <c r="F134" s="30" t="s">
        <v>0</v>
      </c>
      <c r="G134" s="30" t="s">
        <v>0</v>
      </c>
      <c r="H134" s="31" t="s">
        <v>0</v>
      </c>
      <c r="I134" s="31" t="s">
        <v>0</v>
      </c>
      <c r="J134" s="31" t="s">
        <v>0</v>
      </c>
      <c r="K134" s="31" t="s">
        <v>0</v>
      </c>
      <c r="L134" s="31" t="s">
        <v>0</v>
      </c>
      <c r="M134" s="32">
        <f>M135</f>
        <v>873719465.85000002</v>
      </c>
      <c r="N134" s="32">
        <f t="shared" si="32"/>
        <v>862964766.17999995</v>
      </c>
      <c r="O134" s="32">
        <f t="shared" si="32"/>
        <v>862964766.17999995</v>
      </c>
      <c r="P134" s="33">
        <f t="shared" si="18"/>
        <v>0.98769090069483878</v>
      </c>
    </row>
    <row r="135" spans="1:16" s="34" customFormat="1" ht="32.25" customHeight="1" x14ac:dyDescent="0.25">
      <c r="A135" s="29" t="s">
        <v>29</v>
      </c>
      <c r="B135" s="30" t="s">
        <v>146</v>
      </c>
      <c r="C135" s="30" t="s">
        <v>13</v>
      </c>
      <c r="D135" s="30" t="s">
        <v>160</v>
      </c>
      <c r="E135" s="30" t="s">
        <v>30</v>
      </c>
      <c r="F135" s="30" t="s">
        <v>0</v>
      </c>
      <c r="G135" s="30" t="s">
        <v>0</v>
      </c>
      <c r="H135" s="31" t="s">
        <v>0</v>
      </c>
      <c r="I135" s="31" t="s">
        <v>0</v>
      </c>
      <c r="J135" s="31" t="s">
        <v>0</v>
      </c>
      <c r="K135" s="31" t="s">
        <v>0</v>
      </c>
      <c r="L135" s="31" t="s">
        <v>0</v>
      </c>
      <c r="M135" s="32">
        <f>M136</f>
        <v>873719465.85000002</v>
      </c>
      <c r="N135" s="32">
        <f t="shared" si="32"/>
        <v>862964766.17999995</v>
      </c>
      <c r="O135" s="32">
        <f t="shared" si="32"/>
        <v>862964766.17999995</v>
      </c>
      <c r="P135" s="33">
        <f t="shared" ref="P135:P164" si="33">O135/M135</f>
        <v>0.98769090069483878</v>
      </c>
    </row>
    <row r="136" spans="1:16" s="34" customFormat="1" ht="80.099999999999994" customHeight="1" x14ac:dyDescent="0.25">
      <c r="A136" s="29" t="s">
        <v>31</v>
      </c>
      <c r="B136" s="30" t="s">
        <v>146</v>
      </c>
      <c r="C136" s="30" t="s">
        <v>13</v>
      </c>
      <c r="D136" s="30" t="s">
        <v>160</v>
      </c>
      <c r="E136" s="30" t="s">
        <v>30</v>
      </c>
      <c r="F136" s="30" t="s">
        <v>0</v>
      </c>
      <c r="G136" s="30" t="s">
        <v>0</v>
      </c>
      <c r="H136" s="31" t="s">
        <v>0</v>
      </c>
      <c r="I136" s="31" t="s">
        <v>0</v>
      </c>
      <c r="J136" s="31" t="s">
        <v>0</v>
      </c>
      <c r="K136" s="31" t="s">
        <v>0</v>
      </c>
      <c r="L136" s="31" t="s">
        <v>0</v>
      </c>
      <c r="M136" s="32">
        <f>M137</f>
        <v>873719465.85000002</v>
      </c>
      <c r="N136" s="32">
        <f t="shared" si="32"/>
        <v>862964766.17999995</v>
      </c>
      <c r="O136" s="32">
        <f t="shared" si="32"/>
        <v>862964766.17999995</v>
      </c>
      <c r="P136" s="33">
        <f t="shared" si="33"/>
        <v>0.98769090069483878</v>
      </c>
    </row>
    <row r="137" spans="1:16" s="34" customFormat="1" ht="15" customHeight="1" x14ac:dyDescent="0.25">
      <c r="A137" s="35" t="s">
        <v>148</v>
      </c>
      <c r="B137" s="30" t="s">
        <v>146</v>
      </c>
      <c r="C137" s="30" t="s">
        <v>13</v>
      </c>
      <c r="D137" s="30" t="s">
        <v>160</v>
      </c>
      <c r="E137" s="30" t="s">
        <v>30</v>
      </c>
      <c r="F137" s="30" t="s">
        <v>23</v>
      </c>
      <c r="G137" s="30" t="s">
        <v>0</v>
      </c>
      <c r="H137" s="30" t="s">
        <v>0</v>
      </c>
      <c r="I137" s="30" t="s">
        <v>0</v>
      </c>
      <c r="J137" s="30" t="s">
        <v>0</v>
      </c>
      <c r="K137" s="30" t="s">
        <v>0</v>
      </c>
      <c r="L137" s="30" t="s">
        <v>0</v>
      </c>
      <c r="M137" s="32">
        <f>M138</f>
        <v>873719465.85000002</v>
      </c>
      <c r="N137" s="32">
        <f t="shared" si="32"/>
        <v>862964766.17999995</v>
      </c>
      <c r="O137" s="32">
        <f t="shared" si="32"/>
        <v>862964766.17999995</v>
      </c>
      <c r="P137" s="33">
        <f t="shared" si="33"/>
        <v>0.98769090069483878</v>
      </c>
    </row>
    <row r="138" spans="1:16" s="34" customFormat="1" ht="15" customHeight="1" x14ac:dyDescent="0.25">
      <c r="A138" s="35" t="s">
        <v>149</v>
      </c>
      <c r="B138" s="30" t="s">
        <v>146</v>
      </c>
      <c r="C138" s="30" t="s">
        <v>13</v>
      </c>
      <c r="D138" s="30" t="s">
        <v>160</v>
      </c>
      <c r="E138" s="30" t="s">
        <v>30</v>
      </c>
      <c r="F138" s="30" t="s">
        <v>23</v>
      </c>
      <c r="G138" s="30" t="s">
        <v>27</v>
      </c>
      <c r="H138" s="30" t="s">
        <v>0</v>
      </c>
      <c r="I138" s="30" t="s">
        <v>0</v>
      </c>
      <c r="J138" s="30" t="s">
        <v>0</v>
      </c>
      <c r="K138" s="30" t="s">
        <v>0</v>
      </c>
      <c r="L138" s="30" t="s">
        <v>0</v>
      </c>
      <c r="M138" s="32">
        <f>M139+M143</f>
        <v>873719465.85000002</v>
      </c>
      <c r="N138" s="32">
        <f t="shared" ref="N138:O138" si="34">N139+N143</f>
        <v>862964766.17999995</v>
      </c>
      <c r="O138" s="32">
        <f t="shared" si="34"/>
        <v>862964766.17999995</v>
      </c>
      <c r="P138" s="33">
        <f t="shared" si="33"/>
        <v>0.98769090069483878</v>
      </c>
    </row>
    <row r="139" spans="1:16" s="34" customFormat="1" ht="48.9" customHeight="1" x14ac:dyDescent="0.25">
      <c r="A139" s="29" t="s">
        <v>33</v>
      </c>
      <c r="B139" s="30" t="s">
        <v>146</v>
      </c>
      <c r="C139" s="30" t="s">
        <v>13</v>
      </c>
      <c r="D139" s="30" t="s">
        <v>160</v>
      </c>
      <c r="E139" s="30" t="s">
        <v>30</v>
      </c>
      <c r="F139" s="30" t="s">
        <v>23</v>
      </c>
      <c r="G139" s="30" t="s">
        <v>27</v>
      </c>
      <c r="H139" s="30" t="s">
        <v>34</v>
      </c>
      <c r="I139" s="31" t="s">
        <v>0</v>
      </c>
      <c r="J139" s="31" t="s">
        <v>0</v>
      </c>
      <c r="K139" s="31" t="s">
        <v>0</v>
      </c>
      <c r="L139" s="31" t="s">
        <v>0</v>
      </c>
      <c r="M139" s="32">
        <f>M140</f>
        <v>2779163.02</v>
      </c>
      <c r="N139" s="32">
        <f t="shared" ref="N139:O139" si="35">N140</f>
        <v>2189153.02</v>
      </c>
      <c r="O139" s="32">
        <f t="shared" si="35"/>
        <v>2189153.02</v>
      </c>
      <c r="P139" s="33">
        <f t="shared" si="33"/>
        <v>0.78770227016046002</v>
      </c>
    </row>
    <row r="140" spans="1:16" s="34" customFormat="1" ht="64.5" customHeight="1" x14ac:dyDescent="0.25">
      <c r="A140" s="29" t="s">
        <v>35</v>
      </c>
      <c r="B140" s="30" t="s">
        <v>146</v>
      </c>
      <c r="C140" s="30" t="s">
        <v>13</v>
      </c>
      <c r="D140" s="30" t="s">
        <v>160</v>
      </c>
      <c r="E140" s="30" t="s">
        <v>30</v>
      </c>
      <c r="F140" s="30" t="s">
        <v>23</v>
      </c>
      <c r="G140" s="30" t="s">
        <v>27</v>
      </c>
      <c r="H140" s="30" t="s">
        <v>34</v>
      </c>
      <c r="I140" s="30" t="s">
        <v>36</v>
      </c>
      <c r="J140" s="30" t="s">
        <v>0</v>
      </c>
      <c r="K140" s="30" t="s">
        <v>0</v>
      </c>
      <c r="L140" s="30" t="s">
        <v>0</v>
      </c>
      <c r="M140" s="32">
        <f>M141+M142</f>
        <v>2779163.02</v>
      </c>
      <c r="N140" s="32">
        <f t="shared" ref="N140:O140" si="36">N141+N142</f>
        <v>2189153.02</v>
      </c>
      <c r="O140" s="32">
        <f t="shared" si="36"/>
        <v>2189153.02</v>
      </c>
      <c r="P140" s="33">
        <f t="shared" si="33"/>
        <v>0.78770227016046002</v>
      </c>
    </row>
    <row r="141" spans="1:16" ht="64.5" customHeight="1" x14ac:dyDescent="0.25">
      <c r="A141" s="18" t="s">
        <v>161</v>
      </c>
      <c r="B141" s="19" t="s">
        <v>146</v>
      </c>
      <c r="C141" s="19" t="s">
        <v>13</v>
      </c>
      <c r="D141" s="19" t="s">
        <v>160</v>
      </c>
      <c r="E141" s="19" t="s">
        <v>30</v>
      </c>
      <c r="F141" s="19" t="s">
        <v>23</v>
      </c>
      <c r="G141" s="19" t="s">
        <v>27</v>
      </c>
      <c r="H141" s="19" t="s">
        <v>34</v>
      </c>
      <c r="I141" s="19" t="s">
        <v>36</v>
      </c>
      <c r="J141" s="21" t="s">
        <v>162</v>
      </c>
      <c r="K141" s="21" t="s">
        <v>89</v>
      </c>
      <c r="L141" s="21" t="s">
        <v>37</v>
      </c>
      <c r="M141" s="17">
        <f>500000+239163.02</f>
        <v>739163.02</v>
      </c>
      <c r="N141" s="17">
        <v>739163.02</v>
      </c>
      <c r="O141" s="17">
        <v>739163.02</v>
      </c>
      <c r="P141" s="28">
        <f t="shared" si="33"/>
        <v>1</v>
      </c>
    </row>
    <row r="142" spans="1:16" ht="48.9" customHeight="1" x14ac:dyDescent="0.25">
      <c r="A142" s="18" t="s">
        <v>364</v>
      </c>
      <c r="B142" s="19" t="s">
        <v>146</v>
      </c>
      <c r="C142" s="19" t="s">
        <v>13</v>
      </c>
      <c r="D142" s="19" t="s">
        <v>160</v>
      </c>
      <c r="E142" s="19" t="s">
        <v>30</v>
      </c>
      <c r="F142" s="19" t="s">
        <v>23</v>
      </c>
      <c r="G142" s="19" t="s">
        <v>27</v>
      </c>
      <c r="H142" s="19" t="s">
        <v>34</v>
      </c>
      <c r="I142" s="19" t="s">
        <v>36</v>
      </c>
      <c r="J142" s="21" t="s">
        <v>162</v>
      </c>
      <c r="K142" s="21" t="s">
        <v>89</v>
      </c>
      <c r="L142" s="21" t="s">
        <v>163</v>
      </c>
      <c r="M142" s="17">
        <f>500000+1540000</f>
        <v>2040000</v>
      </c>
      <c r="N142" s="17">
        <v>1449990</v>
      </c>
      <c r="O142" s="17">
        <v>1449990</v>
      </c>
      <c r="P142" s="28">
        <f t="shared" si="33"/>
        <v>0.71077941176470594</v>
      </c>
    </row>
    <row r="143" spans="1:16" s="34" customFormat="1" ht="78" x14ac:dyDescent="0.25">
      <c r="A143" s="29" t="s">
        <v>397</v>
      </c>
      <c r="B143" s="30" t="s">
        <v>146</v>
      </c>
      <c r="C143" s="30" t="s">
        <v>13</v>
      </c>
      <c r="D143" s="30" t="s">
        <v>160</v>
      </c>
      <c r="E143" s="30" t="s">
        <v>30</v>
      </c>
      <c r="F143" s="30" t="s">
        <v>23</v>
      </c>
      <c r="G143" s="30" t="s">
        <v>27</v>
      </c>
      <c r="H143" s="30" t="s">
        <v>164</v>
      </c>
      <c r="I143" s="31" t="s">
        <v>0</v>
      </c>
      <c r="J143" s="31" t="s">
        <v>0</v>
      </c>
      <c r="K143" s="31" t="s">
        <v>0</v>
      </c>
      <c r="L143" s="31" t="s">
        <v>0</v>
      </c>
      <c r="M143" s="32">
        <f>M144</f>
        <v>870940302.83000004</v>
      </c>
      <c r="N143" s="32">
        <f t="shared" ref="N143:O144" si="37">N144</f>
        <v>860775613.15999997</v>
      </c>
      <c r="O143" s="32">
        <f t="shared" si="37"/>
        <v>860775613.15999997</v>
      </c>
      <c r="P143" s="33">
        <f t="shared" si="33"/>
        <v>0.9883290626958342</v>
      </c>
    </row>
    <row r="144" spans="1:16" s="34" customFormat="1" ht="64.5" customHeight="1" x14ac:dyDescent="0.25">
      <c r="A144" s="29" t="s">
        <v>35</v>
      </c>
      <c r="B144" s="30" t="s">
        <v>146</v>
      </c>
      <c r="C144" s="30" t="s">
        <v>13</v>
      </c>
      <c r="D144" s="30" t="s">
        <v>160</v>
      </c>
      <c r="E144" s="30" t="s">
        <v>30</v>
      </c>
      <c r="F144" s="30" t="s">
        <v>23</v>
      </c>
      <c r="G144" s="30" t="s">
        <v>27</v>
      </c>
      <c r="H144" s="30" t="s">
        <v>164</v>
      </c>
      <c r="I144" s="30" t="s">
        <v>36</v>
      </c>
      <c r="J144" s="30" t="s">
        <v>0</v>
      </c>
      <c r="K144" s="30" t="s">
        <v>0</v>
      </c>
      <c r="L144" s="30" t="s">
        <v>0</v>
      </c>
      <c r="M144" s="32">
        <f>M145</f>
        <v>870940302.83000004</v>
      </c>
      <c r="N144" s="32">
        <f t="shared" si="37"/>
        <v>860775613.15999997</v>
      </c>
      <c r="O144" s="32">
        <f t="shared" si="37"/>
        <v>860775613.15999997</v>
      </c>
      <c r="P144" s="33">
        <f t="shared" si="33"/>
        <v>0.9883290626958342</v>
      </c>
    </row>
    <row r="145" spans="1:16" ht="32.25" customHeight="1" x14ac:dyDescent="0.25">
      <c r="A145" s="18" t="s">
        <v>165</v>
      </c>
      <c r="B145" s="19" t="s">
        <v>146</v>
      </c>
      <c r="C145" s="19" t="s">
        <v>13</v>
      </c>
      <c r="D145" s="19" t="s">
        <v>160</v>
      </c>
      <c r="E145" s="19" t="s">
        <v>30</v>
      </c>
      <c r="F145" s="19" t="s">
        <v>23</v>
      </c>
      <c r="G145" s="19" t="s">
        <v>27</v>
      </c>
      <c r="H145" s="19" t="s">
        <v>164</v>
      </c>
      <c r="I145" s="19" t="s">
        <v>36</v>
      </c>
      <c r="J145" s="21" t="s">
        <v>77</v>
      </c>
      <c r="K145" s="21" t="s">
        <v>166</v>
      </c>
      <c r="L145" s="21" t="s">
        <v>37</v>
      </c>
      <c r="M145" s="17">
        <f>689030000+15766660.69+166199700+1058942.14-1115000</f>
        <v>870940302.83000004</v>
      </c>
      <c r="N145" s="17">
        <v>860775613.15999997</v>
      </c>
      <c r="O145" s="17">
        <v>860775613.15999997</v>
      </c>
      <c r="P145" s="28">
        <f t="shared" si="33"/>
        <v>0.9883290626958342</v>
      </c>
    </row>
    <row r="146" spans="1:16" s="34" customFormat="1" ht="32.25" customHeight="1" x14ac:dyDescent="0.25">
      <c r="A146" s="29" t="s">
        <v>167</v>
      </c>
      <c r="B146" s="30" t="s">
        <v>168</v>
      </c>
      <c r="C146" s="30" t="s">
        <v>0</v>
      </c>
      <c r="D146" s="30" t="s">
        <v>0</v>
      </c>
      <c r="E146" s="30" t="s">
        <v>0</v>
      </c>
      <c r="F146" s="30" t="s">
        <v>0</v>
      </c>
      <c r="G146" s="30" t="s">
        <v>0</v>
      </c>
      <c r="H146" s="31" t="s">
        <v>0</v>
      </c>
      <c r="I146" s="31" t="s">
        <v>0</v>
      </c>
      <c r="J146" s="31" t="s">
        <v>0</v>
      </c>
      <c r="K146" s="31" t="s">
        <v>0</v>
      </c>
      <c r="L146" s="31" t="s">
        <v>0</v>
      </c>
      <c r="M146" s="32">
        <f t="shared" ref="M146:O153" si="38">M147</f>
        <v>148410</v>
      </c>
      <c r="N146" s="32">
        <f t="shared" si="38"/>
        <v>148410</v>
      </c>
      <c r="O146" s="32">
        <f t="shared" si="38"/>
        <v>148410</v>
      </c>
      <c r="P146" s="33">
        <f t="shared" si="33"/>
        <v>1</v>
      </c>
    </row>
    <row r="147" spans="1:16" s="34" customFormat="1" ht="32.25" customHeight="1" x14ac:dyDescent="0.25">
      <c r="A147" s="29" t="s">
        <v>169</v>
      </c>
      <c r="B147" s="30" t="s">
        <v>168</v>
      </c>
      <c r="C147" s="30" t="s">
        <v>28</v>
      </c>
      <c r="D147" s="30" t="s">
        <v>24</v>
      </c>
      <c r="E147" s="30" t="s">
        <v>0</v>
      </c>
      <c r="F147" s="30" t="s">
        <v>0</v>
      </c>
      <c r="G147" s="30" t="s">
        <v>0</v>
      </c>
      <c r="H147" s="31" t="s">
        <v>0</v>
      </c>
      <c r="I147" s="31" t="s">
        <v>0</v>
      </c>
      <c r="J147" s="31" t="s">
        <v>0</v>
      </c>
      <c r="K147" s="31" t="s">
        <v>0</v>
      </c>
      <c r="L147" s="31" t="s">
        <v>0</v>
      </c>
      <c r="M147" s="32">
        <f t="shared" si="38"/>
        <v>148410</v>
      </c>
      <c r="N147" s="32">
        <f t="shared" si="38"/>
        <v>148410</v>
      </c>
      <c r="O147" s="32">
        <f t="shared" si="38"/>
        <v>148410</v>
      </c>
      <c r="P147" s="33">
        <f t="shared" si="33"/>
        <v>1</v>
      </c>
    </row>
    <row r="148" spans="1:16" s="34" customFormat="1" ht="32.25" customHeight="1" x14ac:dyDescent="0.25">
      <c r="A148" s="29" t="s">
        <v>29</v>
      </c>
      <c r="B148" s="30" t="s">
        <v>168</v>
      </c>
      <c r="C148" s="30" t="s">
        <v>28</v>
      </c>
      <c r="D148" s="30" t="s">
        <v>24</v>
      </c>
      <c r="E148" s="30" t="s">
        <v>30</v>
      </c>
      <c r="F148" s="30" t="s">
        <v>0</v>
      </c>
      <c r="G148" s="30" t="s">
        <v>0</v>
      </c>
      <c r="H148" s="31" t="s">
        <v>0</v>
      </c>
      <c r="I148" s="31" t="s">
        <v>0</v>
      </c>
      <c r="J148" s="31" t="s">
        <v>0</v>
      </c>
      <c r="K148" s="31" t="s">
        <v>0</v>
      </c>
      <c r="L148" s="31" t="s">
        <v>0</v>
      </c>
      <c r="M148" s="32">
        <f t="shared" si="38"/>
        <v>148410</v>
      </c>
      <c r="N148" s="32">
        <f t="shared" si="38"/>
        <v>148410</v>
      </c>
      <c r="O148" s="32">
        <f t="shared" si="38"/>
        <v>148410</v>
      </c>
      <c r="P148" s="33">
        <f t="shared" si="33"/>
        <v>1</v>
      </c>
    </row>
    <row r="149" spans="1:16" s="34" customFormat="1" ht="80.099999999999994" customHeight="1" x14ac:dyDescent="0.25">
      <c r="A149" s="29" t="s">
        <v>31</v>
      </c>
      <c r="B149" s="30" t="s">
        <v>168</v>
      </c>
      <c r="C149" s="30" t="s">
        <v>28</v>
      </c>
      <c r="D149" s="30" t="s">
        <v>24</v>
      </c>
      <c r="E149" s="30" t="s">
        <v>30</v>
      </c>
      <c r="F149" s="30" t="s">
        <v>0</v>
      </c>
      <c r="G149" s="30" t="s">
        <v>0</v>
      </c>
      <c r="H149" s="31" t="s">
        <v>0</v>
      </c>
      <c r="I149" s="31" t="s">
        <v>0</v>
      </c>
      <c r="J149" s="31" t="s">
        <v>0</v>
      </c>
      <c r="K149" s="31" t="s">
        <v>0</v>
      </c>
      <c r="L149" s="31" t="s">
        <v>0</v>
      </c>
      <c r="M149" s="32">
        <f t="shared" si="38"/>
        <v>148410</v>
      </c>
      <c r="N149" s="32">
        <f t="shared" si="38"/>
        <v>148410</v>
      </c>
      <c r="O149" s="32">
        <f t="shared" si="38"/>
        <v>148410</v>
      </c>
      <c r="P149" s="33">
        <f t="shared" si="33"/>
        <v>1</v>
      </c>
    </row>
    <row r="150" spans="1:16" s="34" customFormat="1" ht="15" customHeight="1" x14ac:dyDescent="0.25">
      <c r="A150" s="35" t="s">
        <v>170</v>
      </c>
      <c r="B150" s="30" t="s">
        <v>168</v>
      </c>
      <c r="C150" s="30" t="s">
        <v>28</v>
      </c>
      <c r="D150" s="30" t="s">
        <v>24</v>
      </c>
      <c r="E150" s="30" t="s">
        <v>30</v>
      </c>
      <c r="F150" s="30" t="s">
        <v>75</v>
      </c>
      <c r="G150" s="30" t="s">
        <v>0</v>
      </c>
      <c r="H150" s="30" t="s">
        <v>0</v>
      </c>
      <c r="I150" s="30" t="s">
        <v>0</v>
      </c>
      <c r="J150" s="30" t="s">
        <v>0</v>
      </c>
      <c r="K150" s="30" t="s">
        <v>0</v>
      </c>
      <c r="L150" s="30" t="s">
        <v>0</v>
      </c>
      <c r="M150" s="32">
        <f t="shared" si="38"/>
        <v>148410</v>
      </c>
      <c r="N150" s="32">
        <f t="shared" si="38"/>
        <v>148410</v>
      </c>
      <c r="O150" s="32">
        <f t="shared" si="38"/>
        <v>148410</v>
      </c>
      <c r="P150" s="33">
        <f t="shared" si="33"/>
        <v>1</v>
      </c>
    </row>
    <row r="151" spans="1:16" s="34" customFormat="1" ht="15" customHeight="1" x14ac:dyDescent="0.25">
      <c r="A151" s="35" t="s">
        <v>171</v>
      </c>
      <c r="B151" s="30" t="s">
        <v>168</v>
      </c>
      <c r="C151" s="30" t="s">
        <v>28</v>
      </c>
      <c r="D151" s="30" t="s">
        <v>24</v>
      </c>
      <c r="E151" s="30" t="s">
        <v>30</v>
      </c>
      <c r="F151" s="30" t="s">
        <v>75</v>
      </c>
      <c r="G151" s="30" t="s">
        <v>64</v>
      </c>
      <c r="H151" s="30" t="s">
        <v>0</v>
      </c>
      <c r="I151" s="30" t="s">
        <v>0</v>
      </c>
      <c r="J151" s="30" t="s">
        <v>0</v>
      </c>
      <c r="K151" s="30" t="s">
        <v>0</v>
      </c>
      <c r="L151" s="30" t="s">
        <v>0</v>
      </c>
      <c r="M151" s="32">
        <f t="shared" si="38"/>
        <v>148410</v>
      </c>
      <c r="N151" s="32">
        <f t="shared" si="38"/>
        <v>148410</v>
      </c>
      <c r="O151" s="32">
        <f t="shared" si="38"/>
        <v>148410</v>
      </c>
      <c r="P151" s="33">
        <f t="shared" si="33"/>
        <v>1</v>
      </c>
    </row>
    <row r="152" spans="1:16" s="34" customFormat="1" ht="48.9" customHeight="1" x14ac:dyDescent="0.25">
      <c r="A152" s="29" t="s">
        <v>33</v>
      </c>
      <c r="B152" s="30" t="s">
        <v>168</v>
      </c>
      <c r="C152" s="30" t="s">
        <v>28</v>
      </c>
      <c r="D152" s="30" t="s">
        <v>24</v>
      </c>
      <c r="E152" s="30" t="s">
        <v>30</v>
      </c>
      <c r="F152" s="30" t="s">
        <v>75</v>
      </c>
      <c r="G152" s="30" t="s">
        <v>64</v>
      </c>
      <c r="H152" s="30" t="s">
        <v>34</v>
      </c>
      <c r="I152" s="31" t="s">
        <v>0</v>
      </c>
      <c r="J152" s="31" t="s">
        <v>0</v>
      </c>
      <c r="K152" s="31" t="s">
        <v>0</v>
      </c>
      <c r="L152" s="31" t="s">
        <v>0</v>
      </c>
      <c r="M152" s="32">
        <f t="shared" si="38"/>
        <v>148410</v>
      </c>
      <c r="N152" s="32">
        <f t="shared" si="38"/>
        <v>148410</v>
      </c>
      <c r="O152" s="32">
        <f t="shared" si="38"/>
        <v>148410</v>
      </c>
      <c r="P152" s="33">
        <f t="shared" si="33"/>
        <v>1</v>
      </c>
    </row>
    <row r="153" spans="1:16" s="34" customFormat="1" ht="64.5" customHeight="1" x14ac:dyDescent="0.25">
      <c r="A153" s="29" t="s">
        <v>35</v>
      </c>
      <c r="B153" s="30" t="s">
        <v>168</v>
      </c>
      <c r="C153" s="30" t="s">
        <v>28</v>
      </c>
      <c r="D153" s="30" t="s">
        <v>24</v>
      </c>
      <c r="E153" s="30" t="s">
        <v>30</v>
      </c>
      <c r="F153" s="30" t="s">
        <v>75</v>
      </c>
      <c r="G153" s="30" t="s">
        <v>64</v>
      </c>
      <c r="H153" s="30" t="s">
        <v>34</v>
      </c>
      <c r="I153" s="30" t="s">
        <v>36</v>
      </c>
      <c r="J153" s="30" t="s">
        <v>0</v>
      </c>
      <c r="K153" s="30" t="s">
        <v>0</v>
      </c>
      <c r="L153" s="30" t="s">
        <v>0</v>
      </c>
      <c r="M153" s="32">
        <f>M154</f>
        <v>148410</v>
      </c>
      <c r="N153" s="32">
        <f t="shared" si="38"/>
        <v>148410</v>
      </c>
      <c r="O153" s="32">
        <f t="shared" si="38"/>
        <v>148410</v>
      </c>
      <c r="P153" s="33">
        <f t="shared" si="33"/>
        <v>1</v>
      </c>
    </row>
    <row r="154" spans="1:16" ht="48.9" customHeight="1" x14ac:dyDescent="0.25">
      <c r="A154" s="18" t="s">
        <v>174</v>
      </c>
      <c r="B154" s="19" t="s">
        <v>168</v>
      </c>
      <c r="C154" s="19" t="s">
        <v>28</v>
      </c>
      <c r="D154" s="19" t="s">
        <v>24</v>
      </c>
      <c r="E154" s="19" t="s">
        <v>30</v>
      </c>
      <c r="F154" s="19" t="s">
        <v>75</v>
      </c>
      <c r="G154" s="19" t="s">
        <v>64</v>
      </c>
      <c r="H154" s="19" t="s">
        <v>34</v>
      </c>
      <c r="I154" s="19" t="s">
        <v>36</v>
      </c>
      <c r="J154" s="21" t="s">
        <v>172</v>
      </c>
      <c r="K154" s="21" t="s">
        <v>173</v>
      </c>
      <c r="L154" s="21" t="s">
        <v>37</v>
      </c>
      <c r="M154" s="17">
        <f>500000-351590</f>
        <v>148410</v>
      </c>
      <c r="N154" s="17">
        <v>148410</v>
      </c>
      <c r="O154" s="17">
        <v>148410</v>
      </c>
      <c r="P154" s="28">
        <f t="shared" si="33"/>
        <v>1</v>
      </c>
    </row>
    <row r="155" spans="1:16" s="34" customFormat="1" ht="48.9" customHeight="1" x14ac:dyDescent="0.25">
      <c r="A155" s="29" t="s">
        <v>175</v>
      </c>
      <c r="B155" s="30" t="s">
        <v>176</v>
      </c>
      <c r="C155" s="30" t="s">
        <v>0</v>
      </c>
      <c r="D155" s="30" t="s">
        <v>0</v>
      </c>
      <c r="E155" s="30" t="s">
        <v>0</v>
      </c>
      <c r="F155" s="30" t="s">
        <v>0</v>
      </c>
      <c r="G155" s="30" t="s">
        <v>0</v>
      </c>
      <c r="H155" s="31" t="s">
        <v>0</v>
      </c>
      <c r="I155" s="31" t="s">
        <v>0</v>
      </c>
      <c r="J155" s="31" t="s">
        <v>0</v>
      </c>
      <c r="K155" s="31" t="s">
        <v>0</v>
      </c>
      <c r="L155" s="31" t="s">
        <v>0</v>
      </c>
      <c r="M155" s="32">
        <f t="shared" ref="M155:O163" si="39">M156</f>
        <v>12850000</v>
      </c>
      <c r="N155" s="32">
        <f t="shared" si="39"/>
        <v>10910078.34</v>
      </c>
      <c r="O155" s="32">
        <f t="shared" si="39"/>
        <v>10910078.34</v>
      </c>
      <c r="P155" s="33">
        <f t="shared" si="33"/>
        <v>0.84903333385214008</v>
      </c>
    </row>
    <row r="156" spans="1:16" s="34" customFormat="1" ht="48.9" customHeight="1" x14ac:dyDescent="0.25">
      <c r="A156" s="29" t="s">
        <v>177</v>
      </c>
      <c r="B156" s="30" t="s">
        <v>176</v>
      </c>
      <c r="C156" s="30" t="s">
        <v>14</v>
      </c>
      <c r="D156" s="30" t="s">
        <v>0</v>
      </c>
      <c r="E156" s="30" t="s">
        <v>0</v>
      </c>
      <c r="F156" s="30" t="s">
        <v>0</v>
      </c>
      <c r="G156" s="30" t="s">
        <v>0</v>
      </c>
      <c r="H156" s="31" t="s">
        <v>0</v>
      </c>
      <c r="I156" s="31" t="s">
        <v>0</v>
      </c>
      <c r="J156" s="31" t="s">
        <v>0</v>
      </c>
      <c r="K156" s="31" t="s">
        <v>0</v>
      </c>
      <c r="L156" s="31" t="s">
        <v>0</v>
      </c>
      <c r="M156" s="32">
        <f t="shared" si="39"/>
        <v>12850000</v>
      </c>
      <c r="N156" s="32">
        <f t="shared" si="39"/>
        <v>10910078.34</v>
      </c>
      <c r="O156" s="32">
        <f t="shared" si="39"/>
        <v>10910078.34</v>
      </c>
      <c r="P156" s="33">
        <f t="shared" si="33"/>
        <v>0.84903333385214008</v>
      </c>
    </row>
    <row r="157" spans="1:16" s="34" customFormat="1" ht="80.099999999999994" customHeight="1" x14ac:dyDescent="0.25">
      <c r="A157" s="29" t="s">
        <v>178</v>
      </c>
      <c r="B157" s="30" t="s">
        <v>176</v>
      </c>
      <c r="C157" s="30" t="s">
        <v>14</v>
      </c>
      <c r="D157" s="30" t="s">
        <v>179</v>
      </c>
      <c r="E157" s="30" t="s">
        <v>0</v>
      </c>
      <c r="F157" s="30" t="s">
        <v>0</v>
      </c>
      <c r="G157" s="30" t="s">
        <v>0</v>
      </c>
      <c r="H157" s="31" t="s">
        <v>0</v>
      </c>
      <c r="I157" s="31" t="s">
        <v>0</v>
      </c>
      <c r="J157" s="31" t="s">
        <v>0</v>
      </c>
      <c r="K157" s="31" t="s">
        <v>0</v>
      </c>
      <c r="L157" s="31" t="s">
        <v>0</v>
      </c>
      <c r="M157" s="32">
        <f t="shared" si="39"/>
        <v>12850000</v>
      </c>
      <c r="N157" s="32">
        <f t="shared" si="39"/>
        <v>10910078.34</v>
      </c>
      <c r="O157" s="32">
        <f t="shared" si="39"/>
        <v>10910078.34</v>
      </c>
      <c r="P157" s="33">
        <f t="shared" si="33"/>
        <v>0.84903333385214008</v>
      </c>
    </row>
    <row r="158" spans="1:16" s="34" customFormat="1" ht="48.9" customHeight="1" x14ac:dyDescent="0.25">
      <c r="A158" s="29" t="s">
        <v>180</v>
      </c>
      <c r="B158" s="30" t="s">
        <v>176</v>
      </c>
      <c r="C158" s="30" t="s">
        <v>14</v>
      </c>
      <c r="D158" s="30" t="s">
        <v>179</v>
      </c>
      <c r="E158" s="30" t="s">
        <v>181</v>
      </c>
      <c r="F158" s="30" t="s">
        <v>0</v>
      </c>
      <c r="G158" s="30" t="s">
        <v>0</v>
      </c>
      <c r="H158" s="31" t="s">
        <v>0</v>
      </c>
      <c r="I158" s="31" t="s">
        <v>0</v>
      </c>
      <c r="J158" s="31" t="s">
        <v>0</v>
      </c>
      <c r="K158" s="31" t="s">
        <v>0</v>
      </c>
      <c r="L158" s="31" t="s">
        <v>0</v>
      </c>
      <c r="M158" s="32">
        <f t="shared" si="39"/>
        <v>12850000</v>
      </c>
      <c r="N158" s="32">
        <f t="shared" si="39"/>
        <v>10910078.34</v>
      </c>
      <c r="O158" s="32">
        <f t="shared" si="39"/>
        <v>10910078.34</v>
      </c>
      <c r="P158" s="33">
        <f t="shared" si="33"/>
        <v>0.84903333385214008</v>
      </c>
    </row>
    <row r="159" spans="1:16" s="34" customFormat="1" ht="64.5" customHeight="1" x14ac:dyDescent="0.25">
      <c r="A159" s="29" t="s">
        <v>182</v>
      </c>
      <c r="B159" s="30" t="s">
        <v>176</v>
      </c>
      <c r="C159" s="30" t="s">
        <v>14</v>
      </c>
      <c r="D159" s="30" t="s">
        <v>179</v>
      </c>
      <c r="E159" s="30" t="s">
        <v>181</v>
      </c>
      <c r="F159" s="30" t="s">
        <v>0</v>
      </c>
      <c r="G159" s="30" t="s">
        <v>0</v>
      </c>
      <c r="H159" s="31" t="s">
        <v>0</v>
      </c>
      <c r="I159" s="31" t="s">
        <v>0</v>
      </c>
      <c r="J159" s="31" t="s">
        <v>0</v>
      </c>
      <c r="K159" s="31" t="s">
        <v>0</v>
      </c>
      <c r="L159" s="31" t="s">
        <v>0</v>
      </c>
      <c r="M159" s="32">
        <f t="shared" si="39"/>
        <v>12850000</v>
      </c>
      <c r="N159" s="32">
        <f t="shared" si="39"/>
        <v>10910078.34</v>
      </c>
      <c r="O159" s="32">
        <f t="shared" si="39"/>
        <v>10910078.34</v>
      </c>
      <c r="P159" s="33">
        <f t="shared" si="33"/>
        <v>0.84903333385214008</v>
      </c>
    </row>
    <row r="160" spans="1:16" s="34" customFormat="1" ht="15" customHeight="1" x14ac:dyDescent="0.25">
      <c r="A160" s="35" t="s">
        <v>44</v>
      </c>
      <c r="B160" s="30" t="s">
        <v>176</v>
      </c>
      <c r="C160" s="30" t="s">
        <v>14</v>
      </c>
      <c r="D160" s="30" t="s">
        <v>179</v>
      </c>
      <c r="E160" s="30" t="s">
        <v>181</v>
      </c>
      <c r="F160" s="30" t="s">
        <v>45</v>
      </c>
      <c r="G160" s="30" t="s">
        <v>0</v>
      </c>
      <c r="H160" s="30" t="s">
        <v>0</v>
      </c>
      <c r="I160" s="30" t="s">
        <v>0</v>
      </c>
      <c r="J160" s="30" t="s">
        <v>0</v>
      </c>
      <c r="K160" s="30" t="s">
        <v>0</v>
      </c>
      <c r="L160" s="30" t="s">
        <v>0</v>
      </c>
      <c r="M160" s="32">
        <f t="shared" si="39"/>
        <v>12850000</v>
      </c>
      <c r="N160" s="32">
        <f t="shared" si="39"/>
        <v>10910078.34</v>
      </c>
      <c r="O160" s="32">
        <f t="shared" si="39"/>
        <v>10910078.34</v>
      </c>
      <c r="P160" s="33">
        <f t="shared" si="33"/>
        <v>0.84903333385214008</v>
      </c>
    </row>
    <row r="161" spans="1:16" s="34" customFormat="1" ht="15" customHeight="1" x14ac:dyDescent="0.25">
      <c r="A161" s="35" t="s">
        <v>183</v>
      </c>
      <c r="B161" s="30" t="s">
        <v>176</v>
      </c>
      <c r="C161" s="30" t="s">
        <v>14</v>
      </c>
      <c r="D161" s="30" t="s">
        <v>179</v>
      </c>
      <c r="E161" s="30" t="s">
        <v>181</v>
      </c>
      <c r="F161" s="30" t="s">
        <v>45</v>
      </c>
      <c r="G161" s="30" t="s">
        <v>113</v>
      </c>
      <c r="H161" s="30" t="s">
        <v>0</v>
      </c>
      <c r="I161" s="30" t="s">
        <v>0</v>
      </c>
      <c r="J161" s="30" t="s">
        <v>0</v>
      </c>
      <c r="K161" s="30" t="s">
        <v>0</v>
      </c>
      <c r="L161" s="30" t="s">
        <v>0</v>
      </c>
      <c r="M161" s="32">
        <f t="shared" si="39"/>
        <v>12850000</v>
      </c>
      <c r="N161" s="32">
        <f t="shared" si="39"/>
        <v>10910078.34</v>
      </c>
      <c r="O161" s="32">
        <f t="shared" si="39"/>
        <v>10910078.34</v>
      </c>
      <c r="P161" s="33">
        <f t="shared" si="33"/>
        <v>0.84903333385214008</v>
      </c>
    </row>
    <row r="162" spans="1:16" s="34" customFormat="1" ht="48.9" customHeight="1" x14ac:dyDescent="0.25">
      <c r="A162" s="29" t="s">
        <v>33</v>
      </c>
      <c r="B162" s="30" t="s">
        <v>176</v>
      </c>
      <c r="C162" s="30" t="s">
        <v>14</v>
      </c>
      <c r="D162" s="30" t="s">
        <v>179</v>
      </c>
      <c r="E162" s="30" t="s">
        <v>181</v>
      </c>
      <c r="F162" s="30" t="s">
        <v>45</v>
      </c>
      <c r="G162" s="30" t="s">
        <v>113</v>
      </c>
      <c r="H162" s="30" t="s">
        <v>34</v>
      </c>
      <c r="I162" s="31" t="s">
        <v>0</v>
      </c>
      <c r="J162" s="31" t="s">
        <v>0</v>
      </c>
      <c r="K162" s="31" t="s">
        <v>0</v>
      </c>
      <c r="L162" s="31" t="s">
        <v>0</v>
      </c>
      <c r="M162" s="32">
        <f t="shared" si="39"/>
        <v>12850000</v>
      </c>
      <c r="N162" s="32">
        <f t="shared" si="39"/>
        <v>10910078.34</v>
      </c>
      <c r="O162" s="32">
        <f t="shared" si="39"/>
        <v>10910078.34</v>
      </c>
      <c r="P162" s="33">
        <f t="shared" si="33"/>
        <v>0.84903333385214008</v>
      </c>
    </row>
    <row r="163" spans="1:16" s="34" customFormat="1" ht="64.5" customHeight="1" x14ac:dyDescent="0.25">
      <c r="A163" s="29" t="s">
        <v>35</v>
      </c>
      <c r="B163" s="30" t="s">
        <v>176</v>
      </c>
      <c r="C163" s="30" t="s">
        <v>14</v>
      </c>
      <c r="D163" s="30" t="s">
        <v>179</v>
      </c>
      <c r="E163" s="30" t="s">
        <v>181</v>
      </c>
      <c r="F163" s="30" t="s">
        <v>45</v>
      </c>
      <c r="G163" s="30" t="s">
        <v>113</v>
      </c>
      <c r="H163" s="30" t="s">
        <v>34</v>
      </c>
      <c r="I163" s="30" t="s">
        <v>36</v>
      </c>
      <c r="J163" s="30" t="s">
        <v>0</v>
      </c>
      <c r="K163" s="30" t="s">
        <v>0</v>
      </c>
      <c r="L163" s="30" t="s">
        <v>0</v>
      </c>
      <c r="M163" s="32">
        <f>M164</f>
        <v>12850000</v>
      </c>
      <c r="N163" s="32">
        <f t="shared" si="39"/>
        <v>10910078.34</v>
      </c>
      <c r="O163" s="32">
        <f t="shared" si="39"/>
        <v>10910078.34</v>
      </c>
      <c r="P163" s="33">
        <f t="shared" si="33"/>
        <v>0.84903333385214008</v>
      </c>
    </row>
    <row r="164" spans="1:16" ht="32.25" customHeight="1" x14ac:dyDescent="0.25">
      <c r="A164" s="18" t="s">
        <v>358</v>
      </c>
      <c r="B164" s="19" t="s">
        <v>176</v>
      </c>
      <c r="C164" s="19" t="s">
        <v>14</v>
      </c>
      <c r="D164" s="19" t="s">
        <v>179</v>
      </c>
      <c r="E164" s="19" t="s">
        <v>181</v>
      </c>
      <c r="F164" s="19" t="s">
        <v>45</v>
      </c>
      <c r="G164" s="19" t="s">
        <v>113</v>
      </c>
      <c r="H164" s="19" t="s">
        <v>34</v>
      </c>
      <c r="I164" s="19" t="s">
        <v>36</v>
      </c>
      <c r="J164" s="21"/>
      <c r="K164" s="21"/>
      <c r="L164" s="21">
        <v>2020</v>
      </c>
      <c r="M164" s="17">
        <v>12850000</v>
      </c>
      <c r="N164" s="17">
        <v>10910078.34</v>
      </c>
      <c r="O164" s="17">
        <v>10910078.34</v>
      </c>
      <c r="P164" s="28">
        <f t="shared" si="33"/>
        <v>0.84903333385214008</v>
      </c>
    </row>
    <row r="170" spans="1:16" s="12" customFormat="1" ht="22.8" x14ac:dyDescent="0.25">
      <c r="A170" s="43" t="s">
        <v>412</v>
      </c>
      <c r="M170" s="13"/>
      <c r="N170" s="47" t="s">
        <v>413</v>
      </c>
      <c r="O170" s="47"/>
      <c r="P170" s="47"/>
    </row>
    <row r="171" spans="1:16" s="12" customFormat="1" ht="14.25" customHeight="1" x14ac:dyDescent="0.25"/>
    <row r="172" spans="1:16" s="12" customFormat="1" ht="51" customHeight="1" x14ac:dyDescent="0.25"/>
    <row r="173" spans="1:16" s="12" customFormat="1" ht="51" customHeight="1" x14ac:dyDescent="0.25"/>
    <row r="174" spans="1:16" s="12" customFormat="1" ht="51" customHeight="1" x14ac:dyDescent="0.25"/>
    <row r="175" spans="1:16" s="12" customFormat="1" ht="51" customHeight="1" x14ac:dyDescent="0.25"/>
    <row r="176" spans="1:16" s="12" customFormat="1" ht="51" customHeight="1" x14ac:dyDescent="0.25"/>
    <row r="177" spans="1:13" s="12" customFormat="1" ht="51" customHeight="1" x14ac:dyDescent="0.25"/>
    <row r="178" spans="1:13" s="12" customFormat="1" ht="51" customHeight="1" x14ac:dyDescent="0.25"/>
    <row r="179" spans="1:13" s="12" customFormat="1" ht="51" customHeight="1" x14ac:dyDescent="0.25"/>
    <row r="180" spans="1:13" s="12" customFormat="1" ht="51" customHeight="1" x14ac:dyDescent="0.25"/>
    <row r="181" spans="1:13" s="12" customFormat="1" ht="36" x14ac:dyDescent="0.25">
      <c r="A181" s="12" t="s">
        <v>414</v>
      </c>
      <c r="M181" s="13"/>
    </row>
    <row r="182" spans="1:13" s="12" customFormat="1" ht="18" x14ac:dyDescent="0.25">
      <c r="A182" s="11"/>
      <c r="M182" s="13"/>
    </row>
    <row r="183" spans="1:13" s="12" customFormat="1" ht="18" x14ac:dyDescent="0.25">
      <c r="A183" s="11"/>
      <c r="M183" s="13"/>
    </row>
    <row r="184" spans="1:13" s="12" customFormat="1" ht="18" x14ac:dyDescent="0.25">
      <c r="A184" s="11"/>
      <c r="M184" s="13"/>
    </row>
    <row r="185" spans="1:13" s="12" customFormat="1" ht="18" x14ac:dyDescent="0.25">
      <c r="A185" s="11"/>
      <c r="M185" s="13"/>
    </row>
    <row r="186" spans="1:13" s="12" customFormat="1" ht="18" x14ac:dyDescent="0.25">
      <c r="A186" s="11"/>
      <c r="M186" s="13"/>
    </row>
    <row r="188" spans="1:13" ht="13.8" x14ac:dyDescent="0.25">
      <c r="A188" s="14"/>
    </row>
    <row r="189" spans="1:13" ht="13.8" x14ac:dyDescent="0.25">
      <c r="A189" s="14"/>
    </row>
  </sheetData>
  <autoFilter ref="A5:M207"/>
  <mergeCells count="4">
    <mergeCell ref="A1:P1"/>
    <mergeCell ref="A2:P2"/>
    <mergeCell ref="A3:P3"/>
    <mergeCell ref="N170:P17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rstPageNumber="3" fitToHeight="148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255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74" sqref="M74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9" width="8.77734375" style="1" customWidth="1"/>
    <col min="10" max="11" width="11.109375" style="1" customWidth="1"/>
    <col min="12" max="12" width="11.7773437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24.75" customHeight="1" x14ac:dyDescent="0.25">
      <c r="A1" s="48" t="s">
        <v>408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45" customHeight="1" x14ac:dyDescent="0.25">
      <c r="A2" s="49" t="s">
        <v>409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7.25" customHeigh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8.25" customHeight="1" x14ac:dyDescent="0.25">
      <c r="A4" s="24" t="s">
        <v>324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5" t="s">
        <v>11</v>
      </c>
      <c r="L4" s="25" t="s">
        <v>12</v>
      </c>
      <c r="M4" s="24" t="s">
        <v>403</v>
      </c>
      <c r="N4" s="24" t="s">
        <v>404</v>
      </c>
      <c r="O4" s="24" t="s">
        <v>405</v>
      </c>
      <c r="P4" s="24" t="s">
        <v>406</v>
      </c>
    </row>
    <row r="5" spans="1:16" ht="14.4" customHeight="1" x14ac:dyDescent="0.25">
      <c r="A5" s="26" t="s">
        <v>13</v>
      </c>
      <c r="B5" s="26" t="s">
        <v>14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6" t="s">
        <v>22</v>
      </c>
      <c r="K5" s="26" t="s">
        <v>23</v>
      </c>
      <c r="L5" s="26" t="s">
        <v>24</v>
      </c>
      <c r="M5" s="26" t="s">
        <v>25</v>
      </c>
      <c r="N5" s="26" t="s">
        <v>70</v>
      </c>
      <c r="O5" s="26" t="s">
        <v>95</v>
      </c>
      <c r="P5" s="26" t="s">
        <v>124</v>
      </c>
    </row>
    <row r="6" spans="1:16" s="34" customFormat="1" ht="15" customHeight="1" x14ac:dyDescent="0.25">
      <c r="A6" s="29" t="s">
        <v>26</v>
      </c>
      <c r="B6" s="30" t="s">
        <v>0</v>
      </c>
      <c r="C6" s="30" t="s">
        <v>0</v>
      </c>
      <c r="D6" s="30" t="s">
        <v>0</v>
      </c>
      <c r="E6" s="30" t="s">
        <v>0</v>
      </c>
      <c r="F6" s="30" t="s">
        <v>0</v>
      </c>
      <c r="G6" s="30" t="s">
        <v>0</v>
      </c>
      <c r="H6" s="30" t="s">
        <v>0</v>
      </c>
      <c r="I6" s="30" t="s">
        <v>0</v>
      </c>
      <c r="J6" s="30" t="s">
        <v>0</v>
      </c>
      <c r="K6" s="30" t="s">
        <v>0</v>
      </c>
      <c r="L6" s="30" t="s">
        <v>0</v>
      </c>
      <c r="M6" s="32">
        <f>M7+M29+M40+M75+M97+M204+M215+M66</f>
        <v>4178252025.0500002</v>
      </c>
      <c r="N6" s="32">
        <f t="shared" ref="N6:O6" si="0">N7+N29+N40+N75+N97+N204+N215+N66</f>
        <v>3730145540.27</v>
      </c>
      <c r="O6" s="32">
        <f t="shared" si="0"/>
        <v>3730240325.6399999</v>
      </c>
      <c r="P6" s="33">
        <f>O6/M6</f>
        <v>0.89277532883990185</v>
      </c>
    </row>
    <row r="7" spans="1:16" s="34" customFormat="1" ht="32.25" customHeight="1" x14ac:dyDescent="0.25">
      <c r="A7" s="29" t="s">
        <v>38</v>
      </c>
      <c r="B7" s="30" t="s">
        <v>39</v>
      </c>
      <c r="C7" s="30" t="s">
        <v>0</v>
      </c>
      <c r="D7" s="30" t="s">
        <v>0</v>
      </c>
      <c r="E7" s="30" t="s">
        <v>0</v>
      </c>
      <c r="F7" s="30" t="s">
        <v>0</v>
      </c>
      <c r="G7" s="30" t="s">
        <v>0</v>
      </c>
      <c r="H7" s="31" t="s">
        <v>0</v>
      </c>
      <c r="I7" s="31" t="s">
        <v>0</v>
      </c>
      <c r="J7" s="31" t="s">
        <v>0</v>
      </c>
      <c r="K7" s="31" t="s">
        <v>0</v>
      </c>
      <c r="L7" s="31" t="s">
        <v>0</v>
      </c>
      <c r="M7" s="32">
        <f>M8</f>
        <v>61166308.549999997</v>
      </c>
      <c r="N7" s="32">
        <f t="shared" ref="N7:O7" si="1">N8</f>
        <v>61166308.549999997</v>
      </c>
      <c r="O7" s="32">
        <f t="shared" si="1"/>
        <v>61166308.549999997</v>
      </c>
      <c r="P7" s="33">
        <f t="shared" ref="P7:P70" si="2">O7/M7</f>
        <v>1</v>
      </c>
    </row>
    <row r="8" spans="1:16" s="34" customFormat="1" ht="48.9" customHeight="1" x14ac:dyDescent="0.25">
      <c r="A8" s="29" t="s">
        <v>40</v>
      </c>
      <c r="B8" s="30" t="s">
        <v>39</v>
      </c>
      <c r="C8" s="30" t="s">
        <v>15</v>
      </c>
      <c r="D8" s="30" t="s">
        <v>0</v>
      </c>
      <c r="E8" s="30" t="s">
        <v>0</v>
      </c>
      <c r="F8" s="30" t="s">
        <v>0</v>
      </c>
      <c r="G8" s="30" t="s">
        <v>0</v>
      </c>
      <c r="H8" s="31" t="s">
        <v>0</v>
      </c>
      <c r="I8" s="31" t="s">
        <v>0</v>
      </c>
      <c r="J8" s="31" t="s">
        <v>0</v>
      </c>
      <c r="K8" s="31" t="s">
        <v>0</v>
      </c>
      <c r="L8" s="31" t="s">
        <v>0</v>
      </c>
      <c r="M8" s="32">
        <f>M9+M21</f>
        <v>61166308.549999997</v>
      </c>
      <c r="N8" s="32">
        <f t="shared" ref="N8:O8" si="3">N9+N21</f>
        <v>61166308.549999997</v>
      </c>
      <c r="O8" s="32">
        <f t="shared" si="3"/>
        <v>61166308.549999997</v>
      </c>
      <c r="P8" s="33">
        <f t="shared" si="2"/>
        <v>1</v>
      </c>
    </row>
    <row r="9" spans="1:16" s="34" customFormat="1" ht="48.9" customHeight="1" x14ac:dyDescent="0.25">
      <c r="A9" s="29" t="s">
        <v>196</v>
      </c>
      <c r="B9" s="30" t="s">
        <v>39</v>
      </c>
      <c r="C9" s="30" t="s">
        <v>15</v>
      </c>
      <c r="D9" s="30" t="s">
        <v>197</v>
      </c>
      <c r="E9" s="30" t="s">
        <v>0</v>
      </c>
      <c r="F9" s="30" t="s">
        <v>0</v>
      </c>
      <c r="G9" s="30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2">
        <f>M10</f>
        <v>8701706.3399999999</v>
      </c>
      <c r="N9" s="32">
        <f t="shared" ref="N9:O13" si="4">N10</f>
        <v>8701706.3399999999</v>
      </c>
      <c r="O9" s="32">
        <f t="shared" si="4"/>
        <v>8701706.3399999999</v>
      </c>
      <c r="P9" s="33">
        <f t="shared" si="2"/>
        <v>1</v>
      </c>
    </row>
    <row r="10" spans="1:16" s="34" customFormat="1" ht="32.25" customHeight="1" x14ac:dyDescent="0.25">
      <c r="A10" s="29" t="s">
        <v>29</v>
      </c>
      <c r="B10" s="30" t="s">
        <v>39</v>
      </c>
      <c r="C10" s="30" t="s">
        <v>15</v>
      </c>
      <c r="D10" s="30" t="s">
        <v>197</v>
      </c>
      <c r="E10" s="30" t="s">
        <v>30</v>
      </c>
      <c r="F10" s="30" t="s">
        <v>0</v>
      </c>
      <c r="G10" s="30" t="s">
        <v>0</v>
      </c>
      <c r="H10" s="31" t="s">
        <v>0</v>
      </c>
      <c r="I10" s="31" t="s">
        <v>0</v>
      </c>
      <c r="J10" s="31" t="s">
        <v>0</v>
      </c>
      <c r="K10" s="31" t="s">
        <v>0</v>
      </c>
      <c r="L10" s="31" t="s">
        <v>0</v>
      </c>
      <c r="M10" s="32">
        <f>M11</f>
        <v>8701706.3399999999</v>
      </c>
      <c r="N10" s="32">
        <f t="shared" si="4"/>
        <v>8701706.3399999999</v>
      </c>
      <c r="O10" s="32">
        <f t="shared" si="4"/>
        <v>8701706.3399999999</v>
      </c>
      <c r="P10" s="33">
        <f t="shared" si="2"/>
        <v>1</v>
      </c>
    </row>
    <row r="11" spans="1:16" s="34" customFormat="1" ht="15" customHeight="1" x14ac:dyDescent="0.25">
      <c r="A11" s="35" t="s">
        <v>63</v>
      </c>
      <c r="B11" s="30" t="s">
        <v>39</v>
      </c>
      <c r="C11" s="30" t="s">
        <v>15</v>
      </c>
      <c r="D11" s="30" t="s">
        <v>197</v>
      </c>
      <c r="E11" s="30" t="s">
        <v>30</v>
      </c>
      <c r="F11" s="30" t="s">
        <v>64</v>
      </c>
      <c r="G11" s="30" t="s">
        <v>0</v>
      </c>
      <c r="H11" s="30" t="s">
        <v>0</v>
      </c>
      <c r="I11" s="30" t="s">
        <v>0</v>
      </c>
      <c r="J11" s="30" t="s">
        <v>0</v>
      </c>
      <c r="K11" s="30" t="s">
        <v>0</v>
      </c>
      <c r="L11" s="30" t="s">
        <v>0</v>
      </c>
      <c r="M11" s="32">
        <f>M12</f>
        <v>8701706.3399999999</v>
      </c>
      <c r="N11" s="32">
        <f t="shared" si="4"/>
        <v>8701706.3399999999</v>
      </c>
      <c r="O11" s="32">
        <f t="shared" si="4"/>
        <v>8701706.3399999999</v>
      </c>
      <c r="P11" s="33">
        <f t="shared" si="2"/>
        <v>1</v>
      </c>
    </row>
    <row r="12" spans="1:16" s="34" customFormat="1" ht="15" customHeight="1" x14ac:dyDescent="0.25">
      <c r="A12" s="35" t="s">
        <v>65</v>
      </c>
      <c r="B12" s="30" t="s">
        <v>39</v>
      </c>
      <c r="C12" s="30" t="s">
        <v>15</v>
      </c>
      <c r="D12" s="30" t="s">
        <v>197</v>
      </c>
      <c r="E12" s="30" t="s">
        <v>30</v>
      </c>
      <c r="F12" s="30" t="s">
        <v>64</v>
      </c>
      <c r="G12" s="30" t="s">
        <v>27</v>
      </c>
      <c r="H12" s="30" t="s">
        <v>0</v>
      </c>
      <c r="I12" s="30" t="s">
        <v>0</v>
      </c>
      <c r="J12" s="30" t="s">
        <v>0</v>
      </c>
      <c r="K12" s="30" t="s">
        <v>0</v>
      </c>
      <c r="L12" s="30" t="s">
        <v>0</v>
      </c>
      <c r="M12" s="32">
        <f>M13</f>
        <v>8701706.3399999999</v>
      </c>
      <c r="N12" s="32">
        <f t="shared" si="4"/>
        <v>8701706.3399999999</v>
      </c>
      <c r="O12" s="32">
        <f t="shared" si="4"/>
        <v>8701706.3399999999</v>
      </c>
      <c r="P12" s="33">
        <f t="shared" si="2"/>
        <v>1</v>
      </c>
    </row>
    <row r="13" spans="1:16" s="34" customFormat="1" ht="32.25" customHeight="1" x14ac:dyDescent="0.25">
      <c r="A13" s="29" t="s">
        <v>198</v>
      </c>
      <c r="B13" s="30" t="s">
        <v>39</v>
      </c>
      <c r="C13" s="30" t="s">
        <v>15</v>
      </c>
      <c r="D13" s="30" t="s">
        <v>197</v>
      </c>
      <c r="E13" s="30" t="s">
        <v>30</v>
      </c>
      <c r="F13" s="30" t="s">
        <v>64</v>
      </c>
      <c r="G13" s="30" t="s">
        <v>27</v>
      </c>
      <c r="H13" s="30" t="s">
        <v>199</v>
      </c>
      <c r="I13" s="31" t="s">
        <v>0</v>
      </c>
      <c r="J13" s="31" t="s">
        <v>0</v>
      </c>
      <c r="K13" s="31" t="s">
        <v>0</v>
      </c>
      <c r="L13" s="31" t="s">
        <v>0</v>
      </c>
      <c r="M13" s="32">
        <f>M14</f>
        <v>8701706.3399999999</v>
      </c>
      <c r="N13" s="32">
        <f t="shared" si="4"/>
        <v>8701706.3399999999</v>
      </c>
      <c r="O13" s="32">
        <f t="shared" si="4"/>
        <v>8701706.3399999999</v>
      </c>
      <c r="P13" s="33">
        <f t="shared" si="2"/>
        <v>1</v>
      </c>
    </row>
    <row r="14" spans="1:16" s="34" customFormat="1" ht="64.5" customHeight="1" x14ac:dyDescent="0.25">
      <c r="A14" s="29" t="s">
        <v>200</v>
      </c>
      <c r="B14" s="30" t="s">
        <v>39</v>
      </c>
      <c r="C14" s="30" t="s">
        <v>15</v>
      </c>
      <c r="D14" s="30" t="s">
        <v>197</v>
      </c>
      <c r="E14" s="30" t="s">
        <v>30</v>
      </c>
      <c r="F14" s="30" t="s">
        <v>64</v>
      </c>
      <c r="G14" s="30" t="s">
        <v>27</v>
      </c>
      <c r="H14" s="30" t="s">
        <v>199</v>
      </c>
      <c r="I14" s="30" t="s">
        <v>201</v>
      </c>
      <c r="J14" s="30" t="s">
        <v>0</v>
      </c>
      <c r="K14" s="30" t="s">
        <v>0</v>
      </c>
      <c r="L14" s="30" t="s">
        <v>0</v>
      </c>
      <c r="M14" s="32">
        <f>M15+M17+M19</f>
        <v>8701706.3399999999</v>
      </c>
      <c r="N14" s="32">
        <f t="shared" ref="N14:O14" si="5">N15+N17+N19</f>
        <v>8701706.3399999999</v>
      </c>
      <c r="O14" s="32">
        <f t="shared" si="5"/>
        <v>8701706.3399999999</v>
      </c>
      <c r="P14" s="33">
        <f t="shared" si="2"/>
        <v>1</v>
      </c>
    </row>
    <row r="15" spans="1:16" s="34" customFormat="1" ht="30" customHeight="1" x14ac:dyDescent="0.25">
      <c r="A15" s="29" t="s">
        <v>202</v>
      </c>
      <c r="B15" s="36" t="s">
        <v>0</v>
      </c>
      <c r="C15" s="36" t="s">
        <v>0</v>
      </c>
      <c r="D15" s="36" t="s">
        <v>0</v>
      </c>
      <c r="E15" s="36" t="s">
        <v>0</v>
      </c>
      <c r="F15" s="36" t="s">
        <v>0</v>
      </c>
      <c r="G15" s="36" t="s">
        <v>0</v>
      </c>
      <c r="H15" s="36" t="s">
        <v>0</v>
      </c>
      <c r="I15" s="36" t="s">
        <v>0</v>
      </c>
      <c r="J15" s="36" t="s">
        <v>0</v>
      </c>
      <c r="K15" s="36" t="s">
        <v>0</v>
      </c>
      <c r="L15" s="36" t="s">
        <v>0</v>
      </c>
      <c r="M15" s="32">
        <f>M16</f>
        <v>680218.35</v>
      </c>
      <c r="N15" s="32">
        <f t="shared" ref="N15:O15" si="6">N16</f>
        <v>680218.35</v>
      </c>
      <c r="O15" s="32">
        <f t="shared" si="6"/>
        <v>680218.35</v>
      </c>
      <c r="P15" s="33">
        <f t="shared" si="2"/>
        <v>1</v>
      </c>
    </row>
    <row r="16" spans="1:16" ht="48.9" customHeight="1" x14ac:dyDescent="0.25">
      <c r="A16" s="18" t="s">
        <v>203</v>
      </c>
      <c r="B16" s="19" t="s">
        <v>39</v>
      </c>
      <c r="C16" s="19" t="s">
        <v>15</v>
      </c>
      <c r="D16" s="19" t="s">
        <v>197</v>
      </c>
      <c r="E16" s="19" t="s">
        <v>30</v>
      </c>
      <c r="F16" s="19" t="s">
        <v>64</v>
      </c>
      <c r="G16" s="19" t="s">
        <v>27</v>
      </c>
      <c r="H16" s="19" t="s">
        <v>199</v>
      </c>
      <c r="I16" s="19" t="s">
        <v>201</v>
      </c>
      <c r="J16" s="21" t="s">
        <v>51</v>
      </c>
      <c r="K16" s="21" t="s">
        <v>204</v>
      </c>
      <c r="L16" s="21" t="s">
        <v>53</v>
      </c>
      <c r="M16" s="17">
        <f>849784.5-169566.15</f>
        <v>680218.35</v>
      </c>
      <c r="N16" s="17">
        <v>680218.35</v>
      </c>
      <c r="O16" s="17">
        <v>680218.35</v>
      </c>
      <c r="P16" s="28">
        <f t="shared" si="2"/>
        <v>1</v>
      </c>
    </row>
    <row r="17" spans="1:16" s="34" customFormat="1" ht="32.25" customHeight="1" x14ac:dyDescent="0.25">
      <c r="A17" s="29" t="s">
        <v>372</v>
      </c>
      <c r="B17" s="36" t="s">
        <v>0</v>
      </c>
      <c r="C17" s="36" t="s">
        <v>0</v>
      </c>
      <c r="D17" s="36" t="s">
        <v>0</v>
      </c>
      <c r="E17" s="36" t="s">
        <v>0</v>
      </c>
      <c r="F17" s="36" t="s">
        <v>0</v>
      </c>
      <c r="G17" s="36" t="s">
        <v>0</v>
      </c>
      <c r="H17" s="36" t="s">
        <v>0</v>
      </c>
      <c r="I17" s="36" t="s">
        <v>0</v>
      </c>
      <c r="J17" s="36" t="s">
        <v>0</v>
      </c>
      <c r="K17" s="36" t="s">
        <v>0</v>
      </c>
      <c r="L17" s="36" t="s">
        <v>0</v>
      </c>
      <c r="M17" s="32">
        <f>M18</f>
        <v>4448013.2</v>
      </c>
      <c r="N17" s="32">
        <f t="shared" ref="N17:O17" si="7">N18</f>
        <v>4448013.2</v>
      </c>
      <c r="O17" s="32">
        <f t="shared" si="7"/>
        <v>4448013.2</v>
      </c>
      <c r="P17" s="33">
        <f t="shared" si="2"/>
        <v>1</v>
      </c>
    </row>
    <row r="18" spans="1:16" ht="48.9" customHeight="1" x14ac:dyDescent="0.25">
      <c r="A18" s="18" t="s">
        <v>206</v>
      </c>
      <c r="B18" s="19" t="s">
        <v>39</v>
      </c>
      <c r="C18" s="19" t="s">
        <v>15</v>
      </c>
      <c r="D18" s="19" t="s">
        <v>197</v>
      </c>
      <c r="E18" s="19" t="s">
        <v>30</v>
      </c>
      <c r="F18" s="19" t="s">
        <v>64</v>
      </c>
      <c r="G18" s="19" t="s">
        <v>27</v>
      </c>
      <c r="H18" s="19" t="s">
        <v>199</v>
      </c>
      <c r="I18" s="19" t="s">
        <v>201</v>
      </c>
      <c r="J18" s="21" t="s">
        <v>51</v>
      </c>
      <c r="K18" s="21" t="s">
        <v>207</v>
      </c>
      <c r="L18" s="21" t="s">
        <v>53</v>
      </c>
      <c r="M18" s="17">
        <f>6330500-1882517.7+30.9</f>
        <v>4448013.2</v>
      </c>
      <c r="N18" s="17">
        <v>4448013.2</v>
      </c>
      <c r="O18" s="17">
        <v>4448013.2</v>
      </c>
      <c r="P18" s="28">
        <f t="shared" si="2"/>
        <v>1</v>
      </c>
    </row>
    <row r="19" spans="1:16" s="34" customFormat="1" ht="30" customHeight="1" x14ac:dyDescent="0.25">
      <c r="A19" s="29" t="s">
        <v>208</v>
      </c>
      <c r="B19" s="36" t="s">
        <v>0</v>
      </c>
      <c r="C19" s="36" t="s">
        <v>0</v>
      </c>
      <c r="D19" s="36" t="s">
        <v>0</v>
      </c>
      <c r="E19" s="36" t="s">
        <v>0</v>
      </c>
      <c r="F19" s="36" t="s">
        <v>0</v>
      </c>
      <c r="G19" s="36" t="s">
        <v>0</v>
      </c>
      <c r="H19" s="36" t="s">
        <v>0</v>
      </c>
      <c r="I19" s="36" t="s">
        <v>0</v>
      </c>
      <c r="J19" s="36" t="s">
        <v>0</v>
      </c>
      <c r="K19" s="36" t="s">
        <v>0</v>
      </c>
      <c r="L19" s="36" t="s">
        <v>0</v>
      </c>
      <c r="M19" s="32">
        <f>M20</f>
        <v>3573474.79</v>
      </c>
      <c r="N19" s="32">
        <f t="shared" ref="N19:O19" si="8">N20</f>
        <v>3573474.79</v>
      </c>
      <c r="O19" s="32">
        <f t="shared" si="8"/>
        <v>3573474.79</v>
      </c>
      <c r="P19" s="33">
        <f t="shared" si="2"/>
        <v>1</v>
      </c>
    </row>
    <row r="20" spans="1:16" ht="48.9" customHeight="1" x14ac:dyDescent="0.25">
      <c r="A20" s="18" t="s">
        <v>329</v>
      </c>
      <c r="B20" s="19" t="s">
        <v>39</v>
      </c>
      <c r="C20" s="19" t="s">
        <v>15</v>
      </c>
      <c r="D20" s="19" t="s">
        <v>197</v>
      </c>
      <c r="E20" s="19" t="s">
        <v>30</v>
      </c>
      <c r="F20" s="19" t="s">
        <v>64</v>
      </c>
      <c r="G20" s="19" t="s">
        <v>27</v>
      </c>
      <c r="H20" s="19" t="s">
        <v>199</v>
      </c>
      <c r="I20" s="19" t="s">
        <v>201</v>
      </c>
      <c r="J20" s="21" t="s">
        <v>51</v>
      </c>
      <c r="K20" s="21" t="s">
        <v>209</v>
      </c>
      <c r="L20" s="21" t="s">
        <v>53</v>
      </c>
      <c r="M20" s="17">
        <f>4880026.5-1306551.71</f>
        <v>3573474.79</v>
      </c>
      <c r="N20" s="17">
        <v>3573474.79</v>
      </c>
      <c r="O20" s="17">
        <v>3573474.79</v>
      </c>
      <c r="P20" s="28">
        <f t="shared" si="2"/>
        <v>1</v>
      </c>
    </row>
    <row r="21" spans="1:16" s="34" customFormat="1" ht="48.9" customHeight="1" x14ac:dyDescent="0.25">
      <c r="A21" s="29" t="s">
        <v>41</v>
      </c>
      <c r="B21" s="30" t="s">
        <v>39</v>
      </c>
      <c r="C21" s="30" t="s">
        <v>15</v>
      </c>
      <c r="D21" s="30" t="s">
        <v>42</v>
      </c>
      <c r="E21" s="30" t="s">
        <v>0</v>
      </c>
      <c r="F21" s="30" t="s">
        <v>0</v>
      </c>
      <c r="G21" s="30" t="s">
        <v>0</v>
      </c>
      <c r="H21" s="31" t="s">
        <v>0</v>
      </c>
      <c r="I21" s="31" t="s">
        <v>0</v>
      </c>
      <c r="J21" s="31" t="s">
        <v>0</v>
      </c>
      <c r="K21" s="31" t="s">
        <v>0</v>
      </c>
      <c r="L21" s="31" t="s">
        <v>0</v>
      </c>
      <c r="M21" s="32">
        <f t="shared" ref="M21:O27" si="9">M22</f>
        <v>52464602.210000001</v>
      </c>
      <c r="N21" s="32">
        <f t="shared" si="9"/>
        <v>52464602.210000001</v>
      </c>
      <c r="O21" s="32">
        <f t="shared" si="9"/>
        <v>52464602.210000001</v>
      </c>
      <c r="P21" s="33">
        <f t="shared" si="2"/>
        <v>1</v>
      </c>
    </row>
    <row r="22" spans="1:16" s="34" customFormat="1" ht="32.25" customHeight="1" x14ac:dyDescent="0.25">
      <c r="A22" s="29" t="s">
        <v>29</v>
      </c>
      <c r="B22" s="30" t="s">
        <v>39</v>
      </c>
      <c r="C22" s="30" t="s">
        <v>15</v>
      </c>
      <c r="D22" s="30" t="s">
        <v>42</v>
      </c>
      <c r="E22" s="30" t="s">
        <v>30</v>
      </c>
      <c r="F22" s="30" t="s">
        <v>0</v>
      </c>
      <c r="G22" s="30" t="s">
        <v>0</v>
      </c>
      <c r="H22" s="31" t="s">
        <v>0</v>
      </c>
      <c r="I22" s="31" t="s">
        <v>0</v>
      </c>
      <c r="J22" s="31" t="s">
        <v>0</v>
      </c>
      <c r="K22" s="31" t="s">
        <v>0</v>
      </c>
      <c r="L22" s="31" t="s">
        <v>0</v>
      </c>
      <c r="M22" s="32">
        <f t="shared" si="9"/>
        <v>52464602.210000001</v>
      </c>
      <c r="N22" s="32">
        <f t="shared" si="9"/>
        <v>52464602.210000001</v>
      </c>
      <c r="O22" s="32">
        <f t="shared" si="9"/>
        <v>52464602.210000001</v>
      </c>
      <c r="P22" s="33">
        <f t="shared" si="2"/>
        <v>1</v>
      </c>
    </row>
    <row r="23" spans="1:16" s="34" customFormat="1" ht="15" customHeight="1" x14ac:dyDescent="0.25">
      <c r="A23" s="35" t="s">
        <v>44</v>
      </c>
      <c r="B23" s="30" t="s">
        <v>39</v>
      </c>
      <c r="C23" s="30" t="s">
        <v>15</v>
      </c>
      <c r="D23" s="30" t="s">
        <v>42</v>
      </c>
      <c r="E23" s="30" t="s">
        <v>30</v>
      </c>
      <c r="F23" s="30" t="s">
        <v>45</v>
      </c>
      <c r="G23" s="30" t="s">
        <v>0</v>
      </c>
      <c r="H23" s="30" t="s">
        <v>0</v>
      </c>
      <c r="I23" s="30" t="s">
        <v>0</v>
      </c>
      <c r="J23" s="30" t="s">
        <v>0</v>
      </c>
      <c r="K23" s="30" t="s">
        <v>0</v>
      </c>
      <c r="L23" s="30" t="s">
        <v>0</v>
      </c>
      <c r="M23" s="32">
        <f t="shared" si="9"/>
        <v>52464602.210000001</v>
      </c>
      <c r="N23" s="32">
        <f t="shared" si="9"/>
        <v>52464602.210000001</v>
      </c>
      <c r="O23" s="32">
        <f t="shared" si="9"/>
        <v>52464602.210000001</v>
      </c>
      <c r="P23" s="33">
        <f t="shared" si="2"/>
        <v>1</v>
      </c>
    </row>
    <row r="24" spans="1:16" s="34" customFormat="1" ht="32.25" customHeight="1" x14ac:dyDescent="0.25">
      <c r="A24" s="35" t="s">
        <v>46</v>
      </c>
      <c r="B24" s="30" t="s">
        <v>39</v>
      </c>
      <c r="C24" s="30" t="s">
        <v>15</v>
      </c>
      <c r="D24" s="30" t="s">
        <v>42</v>
      </c>
      <c r="E24" s="30" t="s">
        <v>30</v>
      </c>
      <c r="F24" s="30" t="s">
        <v>45</v>
      </c>
      <c r="G24" s="30" t="s">
        <v>47</v>
      </c>
      <c r="H24" s="30" t="s">
        <v>0</v>
      </c>
      <c r="I24" s="30" t="s">
        <v>0</v>
      </c>
      <c r="J24" s="30" t="s">
        <v>0</v>
      </c>
      <c r="K24" s="30" t="s">
        <v>0</v>
      </c>
      <c r="L24" s="30" t="s">
        <v>0</v>
      </c>
      <c r="M24" s="32">
        <f t="shared" si="9"/>
        <v>52464602.210000001</v>
      </c>
      <c r="N24" s="32">
        <f t="shared" si="9"/>
        <v>52464602.210000001</v>
      </c>
      <c r="O24" s="32">
        <f t="shared" si="9"/>
        <v>52464602.210000001</v>
      </c>
      <c r="P24" s="33">
        <f t="shared" si="2"/>
        <v>1</v>
      </c>
    </row>
    <row r="25" spans="1:16" s="34" customFormat="1" ht="48.9" customHeight="1" x14ac:dyDescent="0.25">
      <c r="A25" s="29" t="s">
        <v>48</v>
      </c>
      <c r="B25" s="30" t="s">
        <v>39</v>
      </c>
      <c r="C25" s="30" t="s">
        <v>15</v>
      </c>
      <c r="D25" s="30" t="s">
        <v>42</v>
      </c>
      <c r="E25" s="30" t="s">
        <v>30</v>
      </c>
      <c r="F25" s="30" t="s">
        <v>45</v>
      </c>
      <c r="G25" s="30" t="s">
        <v>47</v>
      </c>
      <c r="H25" s="30" t="s">
        <v>49</v>
      </c>
      <c r="I25" s="31" t="s">
        <v>0</v>
      </c>
      <c r="J25" s="31" t="s">
        <v>0</v>
      </c>
      <c r="K25" s="31" t="s">
        <v>0</v>
      </c>
      <c r="L25" s="31" t="s">
        <v>0</v>
      </c>
      <c r="M25" s="32">
        <f t="shared" si="9"/>
        <v>52464602.210000001</v>
      </c>
      <c r="N25" s="32">
        <f t="shared" si="9"/>
        <v>52464602.210000001</v>
      </c>
      <c r="O25" s="32">
        <f t="shared" si="9"/>
        <v>52464602.210000001</v>
      </c>
      <c r="P25" s="33">
        <f t="shared" si="2"/>
        <v>1</v>
      </c>
    </row>
    <row r="26" spans="1:16" s="34" customFormat="1" ht="64.5" customHeight="1" x14ac:dyDescent="0.25">
      <c r="A26" s="29" t="s">
        <v>200</v>
      </c>
      <c r="B26" s="30" t="s">
        <v>39</v>
      </c>
      <c r="C26" s="30" t="s">
        <v>15</v>
      </c>
      <c r="D26" s="30" t="s">
        <v>42</v>
      </c>
      <c r="E26" s="30" t="s">
        <v>30</v>
      </c>
      <c r="F26" s="30" t="s">
        <v>45</v>
      </c>
      <c r="G26" s="30" t="s">
        <v>47</v>
      </c>
      <c r="H26" s="30" t="s">
        <v>49</v>
      </c>
      <c r="I26" s="30" t="s">
        <v>201</v>
      </c>
      <c r="J26" s="30" t="s">
        <v>0</v>
      </c>
      <c r="K26" s="30" t="s">
        <v>0</v>
      </c>
      <c r="L26" s="30" t="s">
        <v>0</v>
      </c>
      <c r="M26" s="32">
        <f t="shared" si="9"/>
        <v>52464602.210000001</v>
      </c>
      <c r="N26" s="32">
        <f t="shared" si="9"/>
        <v>52464602.210000001</v>
      </c>
      <c r="O26" s="32">
        <f t="shared" si="9"/>
        <v>52464602.210000001</v>
      </c>
      <c r="P26" s="33">
        <f t="shared" si="2"/>
        <v>1</v>
      </c>
    </row>
    <row r="27" spans="1:16" s="34" customFormat="1" ht="32.25" customHeight="1" x14ac:dyDescent="0.25">
      <c r="A27" s="29" t="s">
        <v>372</v>
      </c>
      <c r="B27" s="36" t="s">
        <v>0</v>
      </c>
      <c r="C27" s="36" t="s">
        <v>0</v>
      </c>
      <c r="D27" s="36" t="s">
        <v>0</v>
      </c>
      <c r="E27" s="36" t="s">
        <v>0</v>
      </c>
      <c r="F27" s="36" t="s">
        <v>0</v>
      </c>
      <c r="G27" s="36" t="s">
        <v>0</v>
      </c>
      <c r="H27" s="36" t="s">
        <v>0</v>
      </c>
      <c r="I27" s="36" t="s">
        <v>0</v>
      </c>
      <c r="J27" s="36" t="s">
        <v>0</v>
      </c>
      <c r="K27" s="36" t="s">
        <v>0</v>
      </c>
      <c r="L27" s="36" t="s">
        <v>0</v>
      </c>
      <c r="M27" s="32">
        <f t="shared" si="9"/>
        <v>52464602.210000001</v>
      </c>
      <c r="N27" s="32">
        <f t="shared" si="9"/>
        <v>52464602.210000001</v>
      </c>
      <c r="O27" s="32">
        <f t="shared" si="9"/>
        <v>52464602.210000001</v>
      </c>
      <c r="P27" s="33">
        <f t="shared" si="2"/>
        <v>1</v>
      </c>
    </row>
    <row r="28" spans="1:16" ht="64.5" customHeight="1" x14ac:dyDescent="0.25">
      <c r="A28" s="18" t="s">
        <v>210</v>
      </c>
      <c r="B28" s="19" t="s">
        <v>39</v>
      </c>
      <c r="C28" s="19" t="s">
        <v>15</v>
      </c>
      <c r="D28" s="19" t="s">
        <v>42</v>
      </c>
      <c r="E28" s="19" t="s">
        <v>30</v>
      </c>
      <c r="F28" s="19" t="s">
        <v>45</v>
      </c>
      <c r="G28" s="19" t="s">
        <v>47</v>
      </c>
      <c r="H28" s="19" t="s">
        <v>49</v>
      </c>
      <c r="I28" s="19" t="s">
        <v>201</v>
      </c>
      <c r="J28" s="21" t="s">
        <v>51</v>
      </c>
      <c r="K28" s="21" t="s">
        <v>211</v>
      </c>
      <c r="L28" s="21">
        <v>2020</v>
      </c>
      <c r="M28" s="17">
        <f>53581381-1116778.79</f>
        <v>52464602.210000001</v>
      </c>
      <c r="N28" s="17">
        <v>52464602.210000001</v>
      </c>
      <c r="O28" s="17">
        <v>52464602.210000001</v>
      </c>
      <c r="P28" s="28">
        <f t="shared" si="2"/>
        <v>1</v>
      </c>
    </row>
    <row r="29" spans="1:16" s="34" customFormat="1" ht="64.5" customHeight="1" x14ac:dyDescent="0.25">
      <c r="A29" s="29" t="s">
        <v>212</v>
      </c>
      <c r="B29" s="30" t="s">
        <v>113</v>
      </c>
      <c r="C29" s="30" t="s">
        <v>0</v>
      </c>
      <c r="D29" s="30" t="s">
        <v>0</v>
      </c>
      <c r="E29" s="30" t="s">
        <v>0</v>
      </c>
      <c r="F29" s="30" t="s">
        <v>0</v>
      </c>
      <c r="G29" s="30" t="s">
        <v>0</v>
      </c>
      <c r="H29" s="31" t="s">
        <v>0</v>
      </c>
      <c r="I29" s="31" t="s">
        <v>0</v>
      </c>
      <c r="J29" s="31" t="s">
        <v>0</v>
      </c>
      <c r="K29" s="31" t="s">
        <v>0</v>
      </c>
      <c r="L29" s="31" t="s">
        <v>0</v>
      </c>
      <c r="M29" s="32">
        <f t="shared" ref="M29:O34" si="10">M30</f>
        <v>12243885.25</v>
      </c>
      <c r="N29" s="32">
        <f t="shared" si="10"/>
        <v>12242975.030000001</v>
      </c>
      <c r="O29" s="32">
        <f t="shared" si="10"/>
        <v>12242975.030000001</v>
      </c>
      <c r="P29" s="33">
        <f t="shared" si="2"/>
        <v>0.99992565921834342</v>
      </c>
    </row>
    <row r="30" spans="1:16" s="34" customFormat="1" ht="112.35" customHeight="1" x14ac:dyDescent="0.25">
      <c r="A30" s="29" t="s">
        <v>213</v>
      </c>
      <c r="B30" s="30" t="s">
        <v>113</v>
      </c>
      <c r="C30" s="30" t="s">
        <v>28</v>
      </c>
      <c r="D30" s="30" t="s">
        <v>214</v>
      </c>
      <c r="E30" s="30" t="s">
        <v>0</v>
      </c>
      <c r="F30" s="30" t="s">
        <v>0</v>
      </c>
      <c r="G30" s="30" t="s">
        <v>0</v>
      </c>
      <c r="H30" s="31" t="s">
        <v>0</v>
      </c>
      <c r="I30" s="31" t="s">
        <v>0</v>
      </c>
      <c r="J30" s="31" t="s">
        <v>0</v>
      </c>
      <c r="K30" s="31" t="s">
        <v>0</v>
      </c>
      <c r="L30" s="31" t="s">
        <v>0</v>
      </c>
      <c r="M30" s="32">
        <f t="shared" si="10"/>
        <v>12243885.25</v>
      </c>
      <c r="N30" s="32">
        <f t="shared" si="10"/>
        <v>12242975.030000001</v>
      </c>
      <c r="O30" s="32">
        <f t="shared" si="10"/>
        <v>12242975.030000001</v>
      </c>
      <c r="P30" s="33">
        <f t="shared" si="2"/>
        <v>0.99992565921834342</v>
      </c>
    </row>
    <row r="31" spans="1:16" s="34" customFormat="1" ht="32.25" customHeight="1" x14ac:dyDescent="0.25">
      <c r="A31" s="29" t="s">
        <v>215</v>
      </c>
      <c r="B31" s="30" t="s">
        <v>113</v>
      </c>
      <c r="C31" s="30" t="s">
        <v>28</v>
      </c>
      <c r="D31" s="30" t="s">
        <v>214</v>
      </c>
      <c r="E31" s="30" t="s">
        <v>216</v>
      </c>
      <c r="F31" s="30" t="s">
        <v>0</v>
      </c>
      <c r="G31" s="30" t="s">
        <v>0</v>
      </c>
      <c r="H31" s="31" t="s">
        <v>0</v>
      </c>
      <c r="I31" s="31" t="s">
        <v>0</v>
      </c>
      <c r="J31" s="31" t="s">
        <v>0</v>
      </c>
      <c r="K31" s="31" t="s">
        <v>0</v>
      </c>
      <c r="L31" s="31" t="s">
        <v>0</v>
      </c>
      <c r="M31" s="32">
        <f t="shared" si="10"/>
        <v>12243885.25</v>
      </c>
      <c r="N31" s="32">
        <f t="shared" si="10"/>
        <v>12242975.030000001</v>
      </c>
      <c r="O31" s="32">
        <f t="shared" si="10"/>
        <v>12242975.030000001</v>
      </c>
      <c r="P31" s="33">
        <f t="shared" si="2"/>
        <v>0.99992565921834342</v>
      </c>
    </row>
    <row r="32" spans="1:16" s="34" customFormat="1" ht="15" customHeight="1" x14ac:dyDescent="0.25">
      <c r="A32" s="35" t="s">
        <v>217</v>
      </c>
      <c r="B32" s="30" t="s">
        <v>113</v>
      </c>
      <c r="C32" s="30" t="s">
        <v>28</v>
      </c>
      <c r="D32" s="30" t="s">
        <v>214</v>
      </c>
      <c r="E32" s="30" t="s">
        <v>216</v>
      </c>
      <c r="F32" s="30" t="s">
        <v>218</v>
      </c>
      <c r="G32" s="30" t="s">
        <v>0</v>
      </c>
      <c r="H32" s="30" t="s">
        <v>0</v>
      </c>
      <c r="I32" s="30" t="s">
        <v>0</v>
      </c>
      <c r="J32" s="30" t="s">
        <v>0</v>
      </c>
      <c r="K32" s="30" t="s">
        <v>0</v>
      </c>
      <c r="L32" s="30" t="s">
        <v>0</v>
      </c>
      <c r="M32" s="32">
        <f t="shared" si="10"/>
        <v>12243885.25</v>
      </c>
      <c r="N32" s="32">
        <f t="shared" si="10"/>
        <v>12242975.030000001</v>
      </c>
      <c r="O32" s="32">
        <f t="shared" si="10"/>
        <v>12242975.030000001</v>
      </c>
      <c r="P32" s="33">
        <f t="shared" si="2"/>
        <v>0.99992565921834342</v>
      </c>
    </row>
    <row r="33" spans="1:16" s="34" customFormat="1" ht="32.25" customHeight="1" x14ac:dyDescent="0.25">
      <c r="A33" s="35" t="s">
        <v>219</v>
      </c>
      <c r="B33" s="30" t="s">
        <v>113</v>
      </c>
      <c r="C33" s="30" t="s">
        <v>28</v>
      </c>
      <c r="D33" s="30" t="s">
        <v>214</v>
      </c>
      <c r="E33" s="30" t="s">
        <v>216</v>
      </c>
      <c r="F33" s="30" t="s">
        <v>218</v>
      </c>
      <c r="G33" s="30" t="s">
        <v>64</v>
      </c>
      <c r="H33" s="30" t="s">
        <v>0</v>
      </c>
      <c r="I33" s="30" t="s">
        <v>0</v>
      </c>
      <c r="J33" s="30" t="s">
        <v>0</v>
      </c>
      <c r="K33" s="30" t="s">
        <v>0</v>
      </c>
      <c r="L33" s="30" t="s">
        <v>0</v>
      </c>
      <c r="M33" s="32">
        <f t="shared" si="10"/>
        <v>12243885.25</v>
      </c>
      <c r="N33" s="32">
        <f t="shared" si="10"/>
        <v>12242975.030000001</v>
      </c>
      <c r="O33" s="32">
        <f t="shared" si="10"/>
        <v>12242975.030000001</v>
      </c>
      <c r="P33" s="33">
        <f t="shared" si="2"/>
        <v>0.99992565921834342</v>
      </c>
    </row>
    <row r="34" spans="1:16" s="34" customFormat="1" ht="15" customHeight="1" x14ac:dyDescent="0.25">
      <c r="A34" s="29" t="s">
        <v>217</v>
      </c>
      <c r="B34" s="30" t="s">
        <v>113</v>
      </c>
      <c r="C34" s="30" t="s">
        <v>28</v>
      </c>
      <c r="D34" s="30" t="s">
        <v>214</v>
      </c>
      <c r="E34" s="30" t="s">
        <v>216</v>
      </c>
      <c r="F34" s="30" t="s">
        <v>218</v>
      </c>
      <c r="G34" s="30" t="s">
        <v>64</v>
      </c>
      <c r="H34" s="30" t="s">
        <v>220</v>
      </c>
      <c r="I34" s="31" t="s">
        <v>0</v>
      </c>
      <c r="J34" s="31" t="s">
        <v>0</v>
      </c>
      <c r="K34" s="31" t="s">
        <v>0</v>
      </c>
      <c r="L34" s="31" t="s">
        <v>0</v>
      </c>
      <c r="M34" s="32">
        <f t="shared" si="10"/>
        <v>12243885.25</v>
      </c>
      <c r="N34" s="32">
        <f t="shared" si="10"/>
        <v>12242975.030000001</v>
      </c>
      <c r="O34" s="32">
        <f t="shared" si="10"/>
        <v>12242975.030000001</v>
      </c>
      <c r="P34" s="33">
        <f t="shared" si="2"/>
        <v>0.99992565921834342</v>
      </c>
    </row>
    <row r="35" spans="1:16" s="34" customFormat="1" ht="64.5" customHeight="1" x14ac:dyDescent="0.25">
      <c r="A35" s="29" t="s">
        <v>200</v>
      </c>
      <c r="B35" s="30" t="s">
        <v>113</v>
      </c>
      <c r="C35" s="30" t="s">
        <v>28</v>
      </c>
      <c r="D35" s="30" t="s">
        <v>214</v>
      </c>
      <c r="E35" s="30" t="s">
        <v>216</v>
      </c>
      <c r="F35" s="30" t="s">
        <v>218</v>
      </c>
      <c r="G35" s="30" t="s">
        <v>64</v>
      </c>
      <c r="H35" s="30" t="s">
        <v>220</v>
      </c>
      <c r="I35" s="30" t="s">
        <v>201</v>
      </c>
      <c r="J35" s="30" t="s">
        <v>0</v>
      </c>
      <c r="K35" s="30" t="s">
        <v>0</v>
      </c>
      <c r="L35" s="30" t="s">
        <v>0</v>
      </c>
      <c r="M35" s="32">
        <f>M36+M38</f>
        <v>12243885.25</v>
      </c>
      <c r="N35" s="32">
        <f t="shared" ref="N35:O35" si="11">N36+N38</f>
        <v>12242975.030000001</v>
      </c>
      <c r="O35" s="32">
        <f t="shared" si="11"/>
        <v>12242975.030000001</v>
      </c>
      <c r="P35" s="33">
        <f t="shared" si="2"/>
        <v>0.99992565921834342</v>
      </c>
    </row>
    <row r="36" spans="1:16" s="34" customFormat="1" ht="30" customHeight="1" x14ac:dyDescent="0.25">
      <c r="A36" s="29" t="s">
        <v>372</v>
      </c>
      <c r="B36" s="36" t="s">
        <v>0</v>
      </c>
      <c r="C36" s="36" t="s">
        <v>0</v>
      </c>
      <c r="D36" s="36" t="s">
        <v>0</v>
      </c>
      <c r="E36" s="36" t="s">
        <v>0</v>
      </c>
      <c r="F36" s="36" t="s">
        <v>0</v>
      </c>
      <c r="G36" s="36" t="s">
        <v>0</v>
      </c>
      <c r="H36" s="36" t="s">
        <v>0</v>
      </c>
      <c r="I36" s="36" t="s">
        <v>0</v>
      </c>
      <c r="J36" s="36" t="s">
        <v>0</v>
      </c>
      <c r="K36" s="36" t="s">
        <v>0</v>
      </c>
      <c r="L36" s="36" t="s">
        <v>0</v>
      </c>
      <c r="M36" s="32">
        <f>M37</f>
        <v>6179392.1500000004</v>
      </c>
      <c r="N36" s="32">
        <f t="shared" ref="N36:O36" si="12">N37</f>
        <v>6179392.1500000004</v>
      </c>
      <c r="O36" s="32">
        <f t="shared" si="12"/>
        <v>6179392.1500000004</v>
      </c>
      <c r="P36" s="33">
        <f t="shared" si="2"/>
        <v>1</v>
      </c>
    </row>
    <row r="37" spans="1:16" ht="32.25" customHeight="1" x14ac:dyDescent="0.25">
      <c r="A37" s="18" t="s">
        <v>221</v>
      </c>
      <c r="B37" s="19" t="s">
        <v>113</v>
      </c>
      <c r="C37" s="19" t="s">
        <v>28</v>
      </c>
      <c r="D37" s="19" t="s">
        <v>214</v>
      </c>
      <c r="E37" s="19" t="s">
        <v>216</v>
      </c>
      <c r="F37" s="19" t="s">
        <v>218</v>
      </c>
      <c r="G37" s="19" t="s">
        <v>64</v>
      </c>
      <c r="H37" s="19" t="s">
        <v>220</v>
      </c>
      <c r="I37" s="19" t="s">
        <v>201</v>
      </c>
      <c r="J37" s="21" t="s">
        <v>222</v>
      </c>
      <c r="K37" s="21" t="s">
        <v>223</v>
      </c>
      <c r="L37" s="21" t="s">
        <v>53</v>
      </c>
      <c r="M37" s="17">
        <v>6179392.1500000004</v>
      </c>
      <c r="N37" s="17">
        <v>6179392.1500000004</v>
      </c>
      <c r="O37" s="17">
        <v>6179392.1500000004</v>
      </c>
      <c r="P37" s="28">
        <f t="shared" si="2"/>
        <v>1</v>
      </c>
    </row>
    <row r="38" spans="1:16" s="34" customFormat="1" ht="30" customHeight="1" x14ac:dyDescent="0.25">
      <c r="A38" s="29" t="s">
        <v>224</v>
      </c>
      <c r="B38" s="36" t="s">
        <v>0</v>
      </c>
      <c r="C38" s="36" t="s">
        <v>0</v>
      </c>
      <c r="D38" s="36" t="s">
        <v>0</v>
      </c>
      <c r="E38" s="36" t="s">
        <v>0</v>
      </c>
      <c r="F38" s="36" t="s">
        <v>0</v>
      </c>
      <c r="G38" s="36" t="s">
        <v>0</v>
      </c>
      <c r="H38" s="36" t="s">
        <v>0</v>
      </c>
      <c r="I38" s="36" t="s">
        <v>0</v>
      </c>
      <c r="J38" s="36" t="s">
        <v>0</v>
      </c>
      <c r="K38" s="36" t="s">
        <v>0</v>
      </c>
      <c r="L38" s="36" t="s">
        <v>0</v>
      </c>
      <c r="M38" s="32">
        <f>M39</f>
        <v>6064493.0999999996</v>
      </c>
      <c r="N38" s="32">
        <f t="shared" ref="N38:O38" si="13">N39</f>
        <v>6063582.8799999999</v>
      </c>
      <c r="O38" s="32">
        <f t="shared" si="13"/>
        <v>6063582.8799999999</v>
      </c>
      <c r="P38" s="33">
        <f t="shared" si="2"/>
        <v>0.99984990996197198</v>
      </c>
    </row>
    <row r="39" spans="1:16" ht="32.25" customHeight="1" x14ac:dyDescent="0.25">
      <c r="A39" s="18" t="s">
        <v>225</v>
      </c>
      <c r="B39" s="19" t="s">
        <v>113</v>
      </c>
      <c r="C39" s="19" t="s">
        <v>28</v>
      </c>
      <c r="D39" s="19" t="s">
        <v>214</v>
      </c>
      <c r="E39" s="19" t="s">
        <v>216</v>
      </c>
      <c r="F39" s="19" t="s">
        <v>218</v>
      </c>
      <c r="G39" s="19" t="s">
        <v>64</v>
      </c>
      <c r="H39" s="19" t="s">
        <v>220</v>
      </c>
      <c r="I39" s="19" t="s">
        <v>201</v>
      </c>
      <c r="J39" s="21" t="s">
        <v>226</v>
      </c>
      <c r="K39" s="21" t="s">
        <v>15</v>
      </c>
      <c r="L39" s="21" t="s">
        <v>37</v>
      </c>
      <c r="M39" s="17">
        <v>6064493.0999999996</v>
      </c>
      <c r="N39" s="17">
        <v>6063582.8799999999</v>
      </c>
      <c r="O39" s="17">
        <v>6063582.8799999999</v>
      </c>
      <c r="P39" s="28">
        <f t="shared" si="2"/>
        <v>0.99984990996197198</v>
      </c>
    </row>
    <row r="40" spans="1:16" s="34" customFormat="1" ht="64.5" customHeight="1" x14ac:dyDescent="0.25">
      <c r="A40" s="29" t="s">
        <v>58</v>
      </c>
      <c r="B40" s="30" t="s">
        <v>24</v>
      </c>
      <c r="C40" s="30" t="s">
        <v>0</v>
      </c>
      <c r="D40" s="30" t="s">
        <v>0</v>
      </c>
      <c r="E40" s="30" t="s">
        <v>0</v>
      </c>
      <c r="F40" s="30" t="s">
        <v>0</v>
      </c>
      <c r="G40" s="30" t="s">
        <v>0</v>
      </c>
      <c r="H40" s="31" t="s">
        <v>0</v>
      </c>
      <c r="I40" s="31" t="s">
        <v>0</v>
      </c>
      <c r="J40" s="31" t="s">
        <v>0</v>
      </c>
      <c r="K40" s="31" t="s">
        <v>0</v>
      </c>
      <c r="L40" s="31" t="s">
        <v>0</v>
      </c>
      <c r="M40" s="32">
        <f>M41+M57</f>
        <v>96857794.659999996</v>
      </c>
      <c r="N40" s="32">
        <f t="shared" ref="N40:O40" si="14">N41+N57</f>
        <v>91352434.879999995</v>
      </c>
      <c r="O40" s="32">
        <f t="shared" si="14"/>
        <v>91447220.25</v>
      </c>
      <c r="P40" s="33">
        <f t="shared" si="2"/>
        <v>0.94413898820438003</v>
      </c>
    </row>
    <row r="41" spans="1:16" s="34" customFormat="1" ht="32.25" customHeight="1" x14ac:dyDescent="0.25">
      <c r="A41" s="29" t="s">
        <v>227</v>
      </c>
      <c r="B41" s="30" t="s">
        <v>24</v>
      </c>
      <c r="C41" s="30" t="s">
        <v>28</v>
      </c>
      <c r="D41" s="30" t="s">
        <v>228</v>
      </c>
      <c r="E41" s="30" t="s">
        <v>0</v>
      </c>
      <c r="F41" s="30" t="s">
        <v>0</v>
      </c>
      <c r="G41" s="30" t="s">
        <v>0</v>
      </c>
      <c r="H41" s="31" t="s">
        <v>0</v>
      </c>
      <c r="I41" s="31" t="s">
        <v>0</v>
      </c>
      <c r="J41" s="31" t="s">
        <v>0</v>
      </c>
      <c r="K41" s="31" t="s">
        <v>0</v>
      </c>
      <c r="L41" s="31" t="s">
        <v>0</v>
      </c>
      <c r="M41" s="32">
        <f t="shared" ref="M41:O45" si="15">M42</f>
        <v>41772731.969999999</v>
      </c>
      <c r="N41" s="32">
        <f t="shared" si="15"/>
        <v>39990016.310000002</v>
      </c>
      <c r="O41" s="32">
        <f t="shared" si="15"/>
        <v>40084801.68</v>
      </c>
      <c r="P41" s="33">
        <f t="shared" si="2"/>
        <v>0.9595925329659496</v>
      </c>
    </row>
    <row r="42" spans="1:16" s="34" customFormat="1" ht="64.5" customHeight="1" x14ac:dyDescent="0.25">
      <c r="A42" s="29" t="s">
        <v>60</v>
      </c>
      <c r="B42" s="30" t="s">
        <v>24</v>
      </c>
      <c r="C42" s="30" t="s">
        <v>28</v>
      </c>
      <c r="D42" s="30" t="s">
        <v>228</v>
      </c>
      <c r="E42" s="30" t="s">
        <v>61</v>
      </c>
      <c r="F42" s="30" t="s">
        <v>0</v>
      </c>
      <c r="G42" s="30" t="s">
        <v>0</v>
      </c>
      <c r="H42" s="31" t="s">
        <v>0</v>
      </c>
      <c r="I42" s="31" t="s">
        <v>0</v>
      </c>
      <c r="J42" s="31" t="s">
        <v>0</v>
      </c>
      <c r="K42" s="31" t="s">
        <v>0</v>
      </c>
      <c r="L42" s="31" t="s">
        <v>0</v>
      </c>
      <c r="M42" s="32">
        <f t="shared" si="15"/>
        <v>41772731.969999999</v>
      </c>
      <c r="N42" s="32">
        <f t="shared" si="15"/>
        <v>39990016.310000002</v>
      </c>
      <c r="O42" s="32">
        <f t="shared" si="15"/>
        <v>40084801.68</v>
      </c>
      <c r="P42" s="33">
        <f t="shared" si="2"/>
        <v>0.9595925329659496</v>
      </c>
    </row>
    <row r="43" spans="1:16" s="34" customFormat="1" ht="15" customHeight="1" x14ac:dyDescent="0.25">
      <c r="A43" s="35" t="s">
        <v>63</v>
      </c>
      <c r="B43" s="30" t="s">
        <v>24</v>
      </c>
      <c r="C43" s="30" t="s">
        <v>28</v>
      </c>
      <c r="D43" s="30" t="s">
        <v>228</v>
      </c>
      <c r="E43" s="30" t="s">
        <v>61</v>
      </c>
      <c r="F43" s="30" t="s">
        <v>64</v>
      </c>
      <c r="G43" s="30" t="s">
        <v>0</v>
      </c>
      <c r="H43" s="30" t="s">
        <v>0</v>
      </c>
      <c r="I43" s="30" t="s">
        <v>0</v>
      </c>
      <c r="J43" s="30" t="s">
        <v>0</v>
      </c>
      <c r="K43" s="30" t="s">
        <v>0</v>
      </c>
      <c r="L43" s="30" t="s">
        <v>0</v>
      </c>
      <c r="M43" s="32">
        <f t="shared" si="15"/>
        <v>41772731.969999999</v>
      </c>
      <c r="N43" s="32">
        <f t="shared" si="15"/>
        <v>39990016.310000002</v>
      </c>
      <c r="O43" s="32">
        <f t="shared" si="15"/>
        <v>40084801.68</v>
      </c>
      <c r="P43" s="33">
        <f t="shared" si="2"/>
        <v>0.9595925329659496</v>
      </c>
    </row>
    <row r="44" spans="1:16" s="34" customFormat="1" ht="32.25" customHeight="1" x14ac:dyDescent="0.25">
      <c r="A44" s="35" t="s">
        <v>229</v>
      </c>
      <c r="B44" s="30" t="s">
        <v>24</v>
      </c>
      <c r="C44" s="30" t="s">
        <v>28</v>
      </c>
      <c r="D44" s="30" t="s">
        <v>228</v>
      </c>
      <c r="E44" s="30" t="s">
        <v>61</v>
      </c>
      <c r="F44" s="30" t="s">
        <v>64</v>
      </c>
      <c r="G44" s="30" t="s">
        <v>64</v>
      </c>
      <c r="H44" s="30" t="s">
        <v>0</v>
      </c>
      <c r="I44" s="30" t="s">
        <v>0</v>
      </c>
      <c r="J44" s="30" t="s">
        <v>0</v>
      </c>
      <c r="K44" s="30" t="s">
        <v>0</v>
      </c>
      <c r="L44" s="30" t="s">
        <v>0</v>
      </c>
      <c r="M44" s="32">
        <f>M53+M45</f>
        <v>41772731.969999999</v>
      </c>
      <c r="N44" s="32">
        <f t="shared" ref="N44:O44" si="16">N53+N45</f>
        <v>39990016.310000002</v>
      </c>
      <c r="O44" s="32">
        <f t="shared" si="16"/>
        <v>40084801.68</v>
      </c>
      <c r="P44" s="33">
        <f t="shared" si="2"/>
        <v>0.9595925329659496</v>
      </c>
    </row>
    <row r="45" spans="1:16" s="34" customFormat="1" ht="48.9" customHeight="1" x14ac:dyDescent="0.25">
      <c r="A45" s="29" t="s">
        <v>234</v>
      </c>
      <c r="B45" s="30" t="s">
        <v>24</v>
      </c>
      <c r="C45" s="30" t="s">
        <v>28</v>
      </c>
      <c r="D45" s="30" t="s">
        <v>228</v>
      </c>
      <c r="E45" s="30" t="s">
        <v>61</v>
      </c>
      <c r="F45" s="30" t="s">
        <v>64</v>
      </c>
      <c r="G45" s="30" t="s">
        <v>64</v>
      </c>
      <c r="H45" s="30">
        <v>11270</v>
      </c>
      <c r="I45" s="31" t="s">
        <v>0</v>
      </c>
      <c r="J45" s="31" t="s">
        <v>0</v>
      </c>
      <c r="K45" s="31" t="s">
        <v>0</v>
      </c>
      <c r="L45" s="31" t="s">
        <v>0</v>
      </c>
      <c r="M45" s="32">
        <f t="shared" si="15"/>
        <v>20364448.970000003</v>
      </c>
      <c r="N45" s="32">
        <f t="shared" si="15"/>
        <v>20364448.969999999</v>
      </c>
      <c r="O45" s="32">
        <f t="shared" si="15"/>
        <v>20364448.969999999</v>
      </c>
      <c r="P45" s="33">
        <f t="shared" si="2"/>
        <v>0.99999999999999978</v>
      </c>
    </row>
    <row r="46" spans="1:16" s="34" customFormat="1" ht="64.5" customHeight="1" x14ac:dyDescent="0.25">
      <c r="A46" s="29" t="s">
        <v>200</v>
      </c>
      <c r="B46" s="30" t="s">
        <v>24</v>
      </c>
      <c r="C46" s="30" t="s">
        <v>28</v>
      </c>
      <c r="D46" s="30" t="s">
        <v>228</v>
      </c>
      <c r="E46" s="30" t="s">
        <v>61</v>
      </c>
      <c r="F46" s="30" t="s">
        <v>64</v>
      </c>
      <c r="G46" s="30" t="s">
        <v>64</v>
      </c>
      <c r="H46" s="30">
        <v>11270</v>
      </c>
      <c r="I46" s="30" t="s">
        <v>201</v>
      </c>
      <c r="J46" s="30" t="s">
        <v>0</v>
      </c>
      <c r="K46" s="30" t="s">
        <v>0</v>
      </c>
      <c r="L46" s="30" t="s">
        <v>0</v>
      </c>
      <c r="M46" s="32">
        <f>M47+M49+M51</f>
        <v>20364448.970000003</v>
      </c>
      <c r="N46" s="32">
        <f t="shared" ref="N46:O46" si="17">N47+N49+N51</f>
        <v>20364448.969999999</v>
      </c>
      <c r="O46" s="32">
        <f t="shared" si="17"/>
        <v>20364448.969999999</v>
      </c>
      <c r="P46" s="33">
        <f t="shared" si="2"/>
        <v>0.99999999999999978</v>
      </c>
    </row>
    <row r="47" spans="1:16" s="42" customFormat="1" ht="30" customHeight="1" x14ac:dyDescent="0.25">
      <c r="A47" s="38" t="s">
        <v>224</v>
      </c>
      <c r="B47" s="39"/>
      <c r="C47" s="39"/>
      <c r="D47" s="39"/>
      <c r="E47" s="39"/>
      <c r="F47" s="39"/>
      <c r="G47" s="40"/>
      <c r="H47" s="39"/>
      <c r="I47" s="39"/>
      <c r="J47" s="41"/>
      <c r="K47" s="40"/>
      <c r="L47" s="39"/>
      <c r="M47" s="32">
        <f>M48</f>
        <v>6174773.5499999998</v>
      </c>
      <c r="N47" s="32">
        <f t="shared" ref="N47:O47" si="18">N48</f>
        <v>6174773.5499999998</v>
      </c>
      <c r="O47" s="32">
        <f t="shared" si="18"/>
        <v>6174773.5499999998</v>
      </c>
      <c r="P47" s="33">
        <f t="shared" si="2"/>
        <v>1</v>
      </c>
    </row>
    <row r="48" spans="1:16" s="8" customFormat="1" ht="105.6" x14ac:dyDescent="0.25">
      <c r="A48" s="15" t="s">
        <v>323</v>
      </c>
      <c r="B48" s="3" t="s">
        <v>24</v>
      </c>
      <c r="C48" s="3">
        <v>0</v>
      </c>
      <c r="D48" s="3" t="s">
        <v>228</v>
      </c>
      <c r="E48" s="3" t="s">
        <v>61</v>
      </c>
      <c r="F48" s="3" t="s">
        <v>64</v>
      </c>
      <c r="G48" s="16" t="s">
        <v>64</v>
      </c>
      <c r="H48" s="16" t="s">
        <v>235</v>
      </c>
      <c r="I48" s="3">
        <v>522</v>
      </c>
      <c r="J48" s="6" t="s">
        <v>398</v>
      </c>
      <c r="K48" s="16" t="s">
        <v>399</v>
      </c>
      <c r="L48" s="3">
        <v>2020</v>
      </c>
      <c r="M48" s="17">
        <f>6306916.77-132143.22</f>
        <v>6174773.5499999998</v>
      </c>
      <c r="N48" s="17">
        <v>6174773.5499999998</v>
      </c>
      <c r="O48" s="17">
        <v>6174773.5499999998</v>
      </c>
      <c r="P48" s="28">
        <f t="shared" si="2"/>
        <v>1</v>
      </c>
    </row>
    <row r="49" spans="1:16" s="42" customFormat="1" ht="30" customHeight="1" x14ac:dyDescent="0.25">
      <c r="A49" s="38" t="s">
        <v>237</v>
      </c>
      <c r="B49" s="39"/>
      <c r="C49" s="39"/>
      <c r="D49" s="39"/>
      <c r="E49" s="39"/>
      <c r="F49" s="39"/>
      <c r="G49" s="40"/>
      <c r="H49" s="39"/>
      <c r="I49" s="39"/>
      <c r="J49" s="41"/>
      <c r="K49" s="40"/>
      <c r="L49" s="39"/>
      <c r="M49" s="32">
        <f>M50</f>
        <v>7889879.8000000007</v>
      </c>
      <c r="N49" s="32">
        <f t="shared" ref="N49:O49" si="19">N50</f>
        <v>7889879.7999999998</v>
      </c>
      <c r="O49" s="32">
        <f t="shared" si="19"/>
        <v>7889879.7999999998</v>
      </c>
      <c r="P49" s="33">
        <f t="shared" si="2"/>
        <v>0.99999999999999989</v>
      </c>
    </row>
    <row r="50" spans="1:16" s="8" customFormat="1" ht="52.5" customHeight="1" x14ac:dyDescent="0.25">
      <c r="A50" s="15" t="s">
        <v>321</v>
      </c>
      <c r="B50" s="3" t="s">
        <v>24</v>
      </c>
      <c r="C50" s="3">
        <v>0</v>
      </c>
      <c r="D50" s="3" t="s">
        <v>228</v>
      </c>
      <c r="E50" s="3" t="s">
        <v>61</v>
      </c>
      <c r="F50" s="3" t="s">
        <v>64</v>
      </c>
      <c r="G50" s="16" t="s">
        <v>64</v>
      </c>
      <c r="H50" s="16" t="s">
        <v>235</v>
      </c>
      <c r="I50" s="3">
        <v>522</v>
      </c>
      <c r="J50" s="6" t="s">
        <v>236</v>
      </c>
      <c r="K50" s="16" t="s">
        <v>400</v>
      </c>
      <c r="L50" s="3">
        <v>2020</v>
      </c>
      <c r="M50" s="17">
        <f>10264173.48-2374293.68</f>
        <v>7889879.8000000007</v>
      </c>
      <c r="N50" s="17">
        <v>7889879.7999999998</v>
      </c>
      <c r="O50" s="17">
        <v>7889879.7999999998</v>
      </c>
      <c r="P50" s="28">
        <f t="shared" si="2"/>
        <v>0.99999999999999989</v>
      </c>
    </row>
    <row r="51" spans="1:16" s="42" customFormat="1" ht="30" customHeight="1" x14ac:dyDescent="0.25">
      <c r="A51" s="38" t="s">
        <v>322</v>
      </c>
      <c r="B51" s="39"/>
      <c r="C51" s="39"/>
      <c r="D51" s="39"/>
      <c r="E51" s="39"/>
      <c r="F51" s="39"/>
      <c r="G51" s="40"/>
      <c r="H51" s="39"/>
      <c r="I51" s="39"/>
      <c r="J51" s="41"/>
      <c r="K51" s="40"/>
      <c r="L51" s="39"/>
      <c r="M51" s="32">
        <f>M52</f>
        <v>6299795.6200000001</v>
      </c>
      <c r="N51" s="32">
        <f t="shared" ref="N51:O51" si="20">N52</f>
        <v>6299795.6200000001</v>
      </c>
      <c r="O51" s="32">
        <f t="shared" si="20"/>
        <v>6299795.6200000001</v>
      </c>
      <c r="P51" s="33">
        <f t="shared" si="2"/>
        <v>1</v>
      </c>
    </row>
    <row r="52" spans="1:16" s="8" customFormat="1" ht="105.6" x14ac:dyDescent="0.25">
      <c r="A52" s="15" t="s">
        <v>382</v>
      </c>
      <c r="B52" s="3" t="s">
        <v>24</v>
      </c>
      <c r="C52" s="3">
        <v>0</v>
      </c>
      <c r="D52" s="3" t="s">
        <v>228</v>
      </c>
      <c r="E52" s="3" t="s">
        <v>61</v>
      </c>
      <c r="F52" s="3" t="s">
        <v>64</v>
      </c>
      <c r="G52" s="16" t="s">
        <v>64</v>
      </c>
      <c r="H52" s="16" t="s">
        <v>235</v>
      </c>
      <c r="I52" s="3">
        <v>522</v>
      </c>
      <c r="J52" s="6" t="s">
        <v>398</v>
      </c>
      <c r="K52" s="16" t="s">
        <v>383</v>
      </c>
      <c r="L52" s="3">
        <v>2020</v>
      </c>
      <c r="M52" s="17">
        <f>6499604.43-199808.81</f>
        <v>6299795.6200000001</v>
      </c>
      <c r="N52" s="17">
        <v>6299795.6200000001</v>
      </c>
      <c r="O52" s="17">
        <v>6299795.6200000001</v>
      </c>
      <c r="P52" s="28">
        <f t="shared" si="2"/>
        <v>1</v>
      </c>
    </row>
    <row r="53" spans="1:16" s="34" customFormat="1" ht="48.9" customHeight="1" x14ac:dyDescent="0.25">
      <c r="A53" s="29" t="s">
        <v>230</v>
      </c>
      <c r="B53" s="30" t="s">
        <v>24</v>
      </c>
      <c r="C53" s="30" t="s">
        <v>28</v>
      </c>
      <c r="D53" s="30" t="s">
        <v>228</v>
      </c>
      <c r="E53" s="30" t="s">
        <v>61</v>
      </c>
      <c r="F53" s="30" t="s">
        <v>64</v>
      </c>
      <c r="G53" s="30" t="s">
        <v>64</v>
      </c>
      <c r="H53" s="30" t="s">
        <v>231</v>
      </c>
      <c r="I53" s="31" t="s">
        <v>0</v>
      </c>
      <c r="J53" s="31" t="s">
        <v>0</v>
      </c>
      <c r="K53" s="31" t="s">
        <v>0</v>
      </c>
      <c r="L53" s="31" t="s">
        <v>0</v>
      </c>
      <c r="M53" s="32">
        <f>M54</f>
        <v>21408283</v>
      </c>
      <c r="N53" s="32">
        <f t="shared" ref="N53:O55" si="21">N54</f>
        <v>19625567.34</v>
      </c>
      <c r="O53" s="32">
        <f t="shared" si="21"/>
        <v>19720352.710000001</v>
      </c>
      <c r="P53" s="33">
        <f t="shared" si="2"/>
        <v>0.92115527013539578</v>
      </c>
    </row>
    <row r="54" spans="1:16" s="34" customFormat="1" ht="64.5" customHeight="1" x14ac:dyDescent="0.25">
      <c r="A54" s="29" t="s">
        <v>200</v>
      </c>
      <c r="B54" s="30" t="s">
        <v>24</v>
      </c>
      <c r="C54" s="30" t="s">
        <v>28</v>
      </c>
      <c r="D54" s="30" t="s">
        <v>228</v>
      </c>
      <c r="E54" s="30" t="s">
        <v>61</v>
      </c>
      <c r="F54" s="30" t="s">
        <v>64</v>
      </c>
      <c r="G54" s="30" t="s">
        <v>64</v>
      </c>
      <c r="H54" s="30" t="s">
        <v>231</v>
      </c>
      <c r="I54" s="30" t="s">
        <v>201</v>
      </c>
      <c r="J54" s="30" t="s">
        <v>0</v>
      </c>
      <c r="K54" s="30" t="s">
        <v>0</v>
      </c>
      <c r="L54" s="30" t="s">
        <v>0</v>
      </c>
      <c r="M54" s="32">
        <f>M55</f>
        <v>21408283</v>
      </c>
      <c r="N54" s="32">
        <f t="shared" si="21"/>
        <v>19625567.34</v>
      </c>
      <c r="O54" s="32">
        <f t="shared" si="21"/>
        <v>19720352.710000001</v>
      </c>
      <c r="P54" s="33">
        <f t="shared" si="2"/>
        <v>0.92115527013539578</v>
      </c>
    </row>
    <row r="55" spans="1:16" s="34" customFormat="1" ht="32.25" customHeight="1" x14ac:dyDescent="0.25">
      <c r="A55" s="29" t="s">
        <v>232</v>
      </c>
      <c r="B55" s="36" t="s">
        <v>0</v>
      </c>
      <c r="C55" s="36" t="s">
        <v>0</v>
      </c>
      <c r="D55" s="36" t="s">
        <v>0</v>
      </c>
      <c r="E55" s="36" t="s">
        <v>0</v>
      </c>
      <c r="F55" s="36" t="s">
        <v>0</v>
      </c>
      <c r="G55" s="36" t="s">
        <v>0</v>
      </c>
      <c r="H55" s="36" t="s">
        <v>0</v>
      </c>
      <c r="I55" s="36" t="s">
        <v>0</v>
      </c>
      <c r="J55" s="36" t="s">
        <v>0</v>
      </c>
      <c r="K55" s="36" t="s">
        <v>0</v>
      </c>
      <c r="L55" s="36" t="s">
        <v>0</v>
      </c>
      <c r="M55" s="32">
        <f>M56</f>
        <v>21408283</v>
      </c>
      <c r="N55" s="32">
        <f t="shared" si="21"/>
        <v>19625567.34</v>
      </c>
      <c r="O55" s="32">
        <f t="shared" si="21"/>
        <v>19720352.710000001</v>
      </c>
      <c r="P55" s="33">
        <f t="shared" si="2"/>
        <v>0.92115527013539578</v>
      </c>
    </row>
    <row r="56" spans="1:16" ht="132" x14ac:dyDescent="0.25">
      <c r="A56" s="18" t="s">
        <v>233</v>
      </c>
      <c r="B56" s="19" t="s">
        <v>24</v>
      </c>
      <c r="C56" s="19" t="s">
        <v>28</v>
      </c>
      <c r="D56" s="19" t="s">
        <v>228</v>
      </c>
      <c r="E56" s="19" t="s">
        <v>61</v>
      </c>
      <c r="F56" s="19" t="s">
        <v>64</v>
      </c>
      <c r="G56" s="19" t="s">
        <v>64</v>
      </c>
      <c r="H56" s="19" t="s">
        <v>231</v>
      </c>
      <c r="I56" s="19" t="s">
        <v>201</v>
      </c>
      <c r="J56" s="21" t="s">
        <v>371</v>
      </c>
      <c r="K56" s="21" t="s">
        <v>368</v>
      </c>
      <c r="L56" s="21" t="s">
        <v>53</v>
      </c>
      <c r="M56" s="17">
        <f>21512728-104445</f>
        <v>21408283</v>
      </c>
      <c r="N56" s="17">
        <v>19625567.34</v>
      </c>
      <c r="O56" s="17">
        <v>19720352.710000001</v>
      </c>
      <c r="P56" s="28">
        <f t="shared" si="2"/>
        <v>0.92115527013539578</v>
      </c>
    </row>
    <row r="57" spans="1:16" s="34" customFormat="1" ht="64.5" customHeight="1" x14ac:dyDescent="0.25">
      <c r="A57" s="29" t="s">
        <v>243</v>
      </c>
      <c r="B57" s="30" t="s">
        <v>24</v>
      </c>
      <c r="C57" s="30" t="s">
        <v>14</v>
      </c>
      <c r="D57" s="30" t="s">
        <v>0</v>
      </c>
      <c r="E57" s="30" t="s">
        <v>0</v>
      </c>
      <c r="F57" s="30" t="s">
        <v>0</v>
      </c>
      <c r="G57" s="30" t="s">
        <v>0</v>
      </c>
      <c r="H57" s="31" t="s">
        <v>0</v>
      </c>
      <c r="I57" s="31" t="s">
        <v>0</v>
      </c>
      <c r="J57" s="31" t="s">
        <v>0</v>
      </c>
      <c r="K57" s="31" t="s">
        <v>0</v>
      </c>
      <c r="L57" s="31" t="s">
        <v>0</v>
      </c>
      <c r="M57" s="32">
        <f>M58</f>
        <v>55085062.689999998</v>
      </c>
      <c r="N57" s="32">
        <f t="shared" ref="N57:O57" si="22">N58</f>
        <v>51362418.57</v>
      </c>
      <c r="O57" s="32">
        <f t="shared" si="22"/>
        <v>51362418.57</v>
      </c>
      <c r="P57" s="33">
        <f t="shared" si="2"/>
        <v>0.93242008017763778</v>
      </c>
    </row>
    <row r="58" spans="1:16" s="34" customFormat="1" ht="64.5" customHeight="1" x14ac:dyDescent="0.25">
      <c r="A58" s="29" t="s">
        <v>244</v>
      </c>
      <c r="B58" s="30" t="s">
        <v>24</v>
      </c>
      <c r="C58" s="30" t="s">
        <v>14</v>
      </c>
      <c r="D58" s="30" t="s">
        <v>214</v>
      </c>
      <c r="E58" s="30" t="s">
        <v>0</v>
      </c>
      <c r="F58" s="30" t="s">
        <v>0</v>
      </c>
      <c r="G58" s="30" t="s">
        <v>0</v>
      </c>
      <c r="H58" s="31" t="s">
        <v>0</v>
      </c>
      <c r="I58" s="31" t="s">
        <v>0</v>
      </c>
      <c r="J58" s="31" t="s">
        <v>0</v>
      </c>
      <c r="K58" s="31" t="s">
        <v>0</v>
      </c>
      <c r="L58" s="31" t="s">
        <v>0</v>
      </c>
      <c r="M58" s="32">
        <f t="shared" ref="M58:O64" si="23">M59</f>
        <v>55085062.689999998</v>
      </c>
      <c r="N58" s="32">
        <f t="shared" si="23"/>
        <v>51362418.57</v>
      </c>
      <c r="O58" s="32">
        <f t="shared" si="23"/>
        <v>51362418.57</v>
      </c>
      <c r="P58" s="33">
        <f t="shared" si="2"/>
        <v>0.93242008017763778</v>
      </c>
    </row>
    <row r="59" spans="1:16" s="34" customFormat="1" ht="64.5" customHeight="1" x14ac:dyDescent="0.25">
      <c r="A59" s="29" t="s">
        <v>60</v>
      </c>
      <c r="B59" s="30" t="s">
        <v>24</v>
      </c>
      <c r="C59" s="30" t="s">
        <v>14</v>
      </c>
      <c r="D59" s="30" t="s">
        <v>214</v>
      </c>
      <c r="E59" s="30" t="s">
        <v>61</v>
      </c>
      <c r="F59" s="30" t="s">
        <v>0</v>
      </c>
      <c r="G59" s="30" t="s">
        <v>0</v>
      </c>
      <c r="H59" s="31" t="s">
        <v>0</v>
      </c>
      <c r="I59" s="31" t="s">
        <v>0</v>
      </c>
      <c r="J59" s="31" t="s">
        <v>0</v>
      </c>
      <c r="K59" s="31" t="s">
        <v>0</v>
      </c>
      <c r="L59" s="31" t="s">
        <v>0</v>
      </c>
      <c r="M59" s="32">
        <f t="shared" si="23"/>
        <v>55085062.689999998</v>
      </c>
      <c r="N59" s="32">
        <f t="shared" si="23"/>
        <v>51362418.57</v>
      </c>
      <c r="O59" s="32">
        <f t="shared" si="23"/>
        <v>51362418.57</v>
      </c>
      <c r="P59" s="33">
        <f t="shared" si="2"/>
        <v>0.93242008017763778</v>
      </c>
    </row>
    <row r="60" spans="1:16" s="34" customFormat="1" ht="15" customHeight="1" x14ac:dyDescent="0.25">
      <c r="A60" s="35" t="s">
        <v>63</v>
      </c>
      <c r="B60" s="30" t="s">
        <v>24</v>
      </c>
      <c r="C60" s="30" t="s">
        <v>14</v>
      </c>
      <c r="D60" s="30" t="s">
        <v>214</v>
      </c>
      <c r="E60" s="30" t="s">
        <v>61</v>
      </c>
      <c r="F60" s="30" t="s">
        <v>64</v>
      </c>
      <c r="G60" s="30" t="s">
        <v>0</v>
      </c>
      <c r="H60" s="30" t="s">
        <v>0</v>
      </c>
      <c r="I60" s="30" t="s">
        <v>0</v>
      </c>
      <c r="J60" s="30" t="s">
        <v>0</v>
      </c>
      <c r="K60" s="30" t="s">
        <v>0</v>
      </c>
      <c r="L60" s="30" t="s">
        <v>0</v>
      </c>
      <c r="M60" s="32">
        <f t="shared" si="23"/>
        <v>55085062.689999998</v>
      </c>
      <c r="N60" s="32">
        <f t="shared" si="23"/>
        <v>51362418.57</v>
      </c>
      <c r="O60" s="32">
        <f t="shared" si="23"/>
        <v>51362418.57</v>
      </c>
      <c r="P60" s="33">
        <f t="shared" si="2"/>
        <v>0.93242008017763778</v>
      </c>
    </row>
    <row r="61" spans="1:16" s="34" customFormat="1" ht="15" customHeight="1" x14ac:dyDescent="0.25">
      <c r="A61" s="35" t="s">
        <v>65</v>
      </c>
      <c r="B61" s="30" t="s">
        <v>24</v>
      </c>
      <c r="C61" s="30" t="s">
        <v>14</v>
      </c>
      <c r="D61" s="30" t="s">
        <v>214</v>
      </c>
      <c r="E61" s="30" t="s">
        <v>61</v>
      </c>
      <c r="F61" s="30" t="s">
        <v>64</v>
      </c>
      <c r="G61" s="30" t="s">
        <v>27</v>
      </c>
      <c r="H61" s="30" t="s">
        <v>0</v>
      </c>
      <c r="I61" s="30" t="s">
        <v>0</v>
      </c>
      <c r="J61" s="30" t="s">
        <v>0</v>
      </c>
      <c r="K61" s="30" t="s">
        <v>0</v>
      </c>
      <c r="L61" s="30" t="s">
        <v>0</v>
      </c>
      <c r="M61" s="32">
        <f t="shared" si="23"/>
        <v>55085062.689999998</v>
      </c>
      <c r="N61" s="32">
        <f t="shared" si="23"/>
        <v>51362418.57</v>
      </c>
      <c r="O61" s="32">
        <f t="shared" si="23"/>
        <v>51362418.57</v>
      </c>
      <c r="P61" s="33">
        <f t="shared" si="2"/>
        <v>0.93242008017763778</v>
      </c>
    </row>
    <row r="62" spans="1:16" s="34" customFormat="1" ht="48.9" customHeight="1" x14ac:dyDescent="0.25">
      <c r="A62" s="29" t="s">
        <v>234</v>
      </c>
      <c r="B62" s="30" t="s">
        <v>24</v>
      </c>
      <c r="C62" s="30" t="s">
        <v>14</v>
      </c>
      <c r="D62" s="30" t="s">
        <v>214</v>
      </c>
      <c r="E62" s="30" t="s">
        <v>61</v>
      </c>
      <c r="F62" s="30" t="s">
        <v>64</v>
      </c>
      <c r="G62" s="30" t="s">
        <v>27</v>
      </c>
      <c r="H62" s="30" t="s">
        <v>235</v>
      </c>
      <c r="I62" s="31" t="s">
        <v>0</v>
      </c>
      <c r="J62" s="31" t="s">
        <v>0</v>
      </c>
      <c r="K62" s="31" t="s">
        <v>0</v>
      </c>
      <c r="L62" s="31" t="s">
        <v>0</v>
      </c>
      <c r="M62" s="32">
        <f t="shared" si="23"/>
        <v>55085062.689999998</v>
      </c>
      <c r="N62" s="32">
        <f t="shared" si="23"/>
        <v>51362418.57</v>
      </c>
      <c r="O62" s="32">
        <f t="shared" si="23"/>
        <v>51362418.57</v>
      </c>
      <c r="P62" s="33">
        <f t="shared" si="2"/>
        <v>0.93242008017763778</v>
      </c>
    </row>
    <row r="63" spans="1:16" s="34" customFormat="1" ht="64.5" customHeight="1" x14ac:dyDescent="0.25">
      <c r="A63" s="29" t="s">
        <v>200</v>
      </c>
      <c r="B63" s="30" t="s">
        <v>24</v>
      </c>
      <c r="C63" s="30" t="s">
        <v>14</v>
      </c>
      <c r="D63" s="30" t="s">
        <v>214</v>
      </c>
      <c r="E63" s="30" t="s">
        <v>61</v>
      </c>
      <c r="F63" s="30" t="s">
        <v>64</v>
      </c>
      <c r="G63" s="30" t="s">
        <v>27</v>
      </c>
      <c r="H63" s="30" t="s">
        <v>235</v>
      </c>
      <c r="I63" s="30" t="s">
        <v>201</v>
      </c>
      <c r="J63" s="30" t="s">
        <v>0</v>
      </c>
      <c r="K63" s="30" t="s">
        <v>0</v>
      </c>
      <c r="L63" s="30" t="s">
        <v>0</v>
      </c>
      <c r="M63" s="32">
        <f>M64</f>
        <v>55085062.689999998</v>
      </c>
      <c r="N63" s="32">
        <f t="shared" si="23"/>
        <v>51362418.57</v>
      </c>
      <c r="O63" s="32">
        <f t="shared" si="23"/>
        <v>51362418.57</v>
      </c>
      <c r="P63" s="33">
        <f t="shared" si="2"/>
        <v>0.93242008017763778</v>
      </c>
    </row>
    <row r="64" spans="1:16" s="34" customFormat="1" ht="31.2" x14ac:dyDescent="0.25">
      <c r="A64" s="37" t="s">
        <v>354</v>
      </c>
      <c r="B64" s="36" t="s">
        <v>0</v>
      </c>
      <c r="C64" s="36" t="s">
        <v>0</v>
      </c>
      <c r="D64" s="36" t="s">
        <v>0</v>
      </c>
      <c r="E64" s="36" t="s">
        <v>0</v>
      </c>
      <c r="F64" s="36" t="s">
        <v>0</v>
      </c>
      <c r="G64" s="36" t="s">
        <v>0</v>
      </c>
      <c r="H64" s="36" t="s">
        <v>0</v>
      </c>
      <c r="I64" s="36" t="s">
        <v>0</v>
      </c>
      <c r="J64" s="36" t="s">
        <v>0</v>
      </c>
      <c r="K64" s="36" t="s">
        <v>0</v>
      </c>
      <c r="L64" s="36" t="s">
        <v>0</v>
      </c>
      <c r="M64" s="32">
        <f>M65</f>
        <v>55085062.689999998</v>
      </c>
      <c r="N64" s="32">
        <f t="shared" si="23"/>
        <v>51362418.57</v>
      </c>
      <c r="O64" s="32">
        <f t="shared" si="23"/>
        <v>51362418.57</v>
      </c>
      <c r="P64" s="33">
        <f t="shared" si="2"/>
        <v>0.93242008017763778</v>
      </c>
    </row>
    <row r="65" spans="1:16" ht="31.2" x14ac:dyDescent="0.25">
      <c r="A65" s="2" t="s">
        <v>355</v>
      </c>
      <c r="B65" s="19" t="s">
        <v>24</v>
      </c>
      <c r="C65" s="19" t="s">
        <v>14</v>
      </c>
      <c r="D65" s="19" t="s">
        <v>214</v>
      </c>
      <c r="E65" s="19" t="s">
        <v>61</v>
      </c>
      <c r="F65" s="19" t="s">
        <v>64</v>
      </c>
      <c r="G65" s="19" t="s">
        <v>27</v>
      </c>
      <c r="H65" s="19" t="s">
        <v>235</v>
      </c>
      <c r="I65" s="19" t="s">
        <v>201</v>
      </c>
      <c r="J65" s="21" t="s">
        <v>245</v>
      </c>
      <c r="K65" s="21">
        <v>650</v>
      </c>
      <c r="L65" s="21" t="s">
        <v>53</v>
      </c>
      <c r="M65" s="17">
        <v>55085062.689999998</v>
      </c>
      <c r="N65" s="17">
        <v>51362418.57</v>
      </c>
      <c r="O65" s="17">
        <v>51362418.57</v>
      </c>
      <c r="P65" s="28">
        <f t="shared" si="2"/>
        <v>0.93242008017763778</v>
      </c>
    </row>
    <row r="66" spans="1:16" s="34" customFormat="1" ht="32.25" customHeight="1" x14ac:dyDescent="0.25">
      <c r="A66" s="29" t="s">
        <v>109</v>
      </c>
      <c r="B66" s="30" t="s">
        <v>95</v>
      </c>
      <c r="C66" s="30" t="s">
        <v>0</v>
      </c>
      <c r="D66" s="30" t="s">
        <v>0</v>
      </c>
      <c r="E66" s="30" t="s">
        <v>0</v>
      </c>
      <c r="F66" s="30" t="s">
        <v>0</v>
      </c>
      <c r="G66" s="30" t="s">
        <v>0</v>
      </c>
      <c r="H66" s="31" t="s">
        <v>0</v>
      </c>
      <c r="I66" s="31" t="s">
        <v>0</v>
      </c>
      <c r="J66" s="31" t="s">
        <v>0</v>
      </c>
      <c r="K66" s="31" t="s">
        <v>0</v>
      </c>
      <c r="L66" s="31" t="s">
        <v>0</v>
      </c>
      <c r="M66" s="32">
        <f t="shared" ref="M66:O71" si="24">M67</f>
        <v>29362248</v>
      </c>
      <c r="N66" s="32">
        <f t="shared" si="24"/>
        <v>29362248</v>
      </c>
      <c r="O66" s="32">
        <f t="shared" si="24"/>
        <v>29362248</v>
      </c>
      <c r="P66" s="33">
        <f t="shared" si="2"/>
        <v>1</v>
      </c>
    </row>
    <row r="67" spans="1:16" s="34" customFormat="1" ht="32.25" customHeight="1" x14ac:dyDescent="0.25">
      <c r="A67" s="29" t="s">
        <v>319</v>
      </c>
      <c r="B67" s="30" t="s">
        <v>95</v>
      </c>
      <c r="C67" s="30" t="s">
        <v>28</v>
      </c>
      <c r="D67" s="30">
        <v>12</v>
      </c>
      <c r="E67" s="30" t="s">
        <v>0</v>
      </c>
      <c r="F67" s="30" t="s">
        <v>0</v>
      </c>
      <c r="G67" s="30" t="s">
        <v>0</v>
      </c>
      <c r="H67" s="31" t="s">
        <v>0</v>
      </c>
      <c r="I67" s="31" t="s">
        <v>0</v>
      </c>
      <c r="J67" s="31" t="s">
        <v>0</v>
      </c>
      <c r="K67" s="31" t="s">
        <v>0</v>
      </c>
      <c r="L67" s="31" t="s">
        <v>0</v>
      </c>
      <c r="M67" s="32">
        <f t="shared" si="24"/>
        <v>29362248</v>
      </c>
      <c r="N67" s="32">
        <f t="shared" si="24"/>
        <v>29362248</v>
      </c>
      <c r="O67" s="32">
        <f t="shared" si="24"/>
        <v>29362248</v>
      </c>
      <c r="P67" s="33">
        <f t="shared" si="2"/>
        <v>1</v>
      </c>
    </row>
    <row r="68" spans="1:16" s="34" customFormat="1" ht="32.25" customHeight="1" x14ac:dyDescent="0.25">
      <c r="A68" s="29" t="s">
        <v>110</v>
      </c>
      <c r="B68" s="30" t="s">
        <v>95</v>
      </c>
      <c r="C68" s="30" t="s">
        <v>28</v>
      </c>
      <c r="D68" s="30">
        <v>12</v>
      </c>
      <c r="E68" s="30" t="s">
        <v>111</v>
      </c>
      <c r="F68" s="30" t="s">
        <v>0</v>
      </c>
      <c r="G68" s="30" t="s">
        <v>0</v>
      </c>
      <c r="H68" s="31" t="s">
        <v>0</v>
      </c>
      <c r="I68" s="31" t="s">
        <v>0</v>
      </c>
      <c r="J68" s="31" t="s">
        <v>0</v>
      </c>
      <c r="K68" s="31" t="s">
        <v>0</v>
      </c>
      <c r="L68" s="31" t="s">
        <v>0</v>
      </c>
      <c r="M68" s="32">
        <f t="shared" si="24"/>
        <v>29362248</v>
      </c>
      <c r="N68" s="32">
        <f t="shared" si="24"/>
        <v>29362248</v>
      </c>
      <c r="O68" s="32">
        <f t="shared" si="24"/>
        <v>29362248</v>
      </c>
      <c r="P68" s="33">
        <f t="shared" si="2"/>
        <v>1</v>
      </c>
    </row>
    <row r="69" spans="1:16" s="34" customFormat="1" ht="15" customHeight="1" x14ac:dyDescent="0.25">
      <c r="A69" s="35" t="s">
        <v>112</v>
      </c>
      <c r="B69" s="30" t="s">
        <v>95</v>
      </c>
      <c r="C69" s="30" t="s">
        <v>28</v>
      </c>
      <c r="D69" s="30">
        <v>12</v>
      </c>
      <c r="E69" s="30" t="s">
        <v>111</v>
      </c>
      <c r="F69" s="30" t="s">
        <v>113</v>
      </c>
      <c r="G69" s="30" t="s">
        <v>0</v>
      </c>
      <c r="H69" s="30" t="s">
        <v>0</v>
      </c>
      <c r="I69" s="30" t="s">
        <v>0</v>
      </c>
      <c r="J69" s="30" t="s">
        <v>0</v>
      </c>
      <c r="K69" s="30" t="s">
        <v>0</v>
      </c>
      <c r="L69" s="30" t="s">
        <v>0</v>
      </c>
      <c r="M69" s="32">
        <f t="shared" si="24"/>
        <v>29362248</v>
      </c>
      <c r="N69" s="32">
        <f t="shared" si="24"/>
        <v>29362248</v>
      </c>
      <c r="O69" s="32">
        <f t="shared" si="24"/>
        <v>29362248</v>
      </c>
      <c r="P69" s="33">
        <f t="shared" si="2"/>
        <v>1</v>
      </c>
    </row>
    <row r="70" spans="1:16" s="34" customFormat="1" ht="15" customHeight="1" x14ac:dyDescent="0.25">
      <c r="A70" s="35" t="s">
        <v>114</v>
      </c>
      <c r="B70" s="30" t="s">
        <v>95</v>
      </c>
      <c r="C70" s="30" t="s">
        <v>28</v>
      </c>
      <c r="D70" s="30">
        <v>12</v>
      </c>
      <c r="E70" s="30" t="s">
        <v>111</v>
      </c>
      <c r="F70" s="30" t="s">
        <v>113</v>
      </c>
      <c r="G70" s="30" t="s">
        <v>75</v>
      </c>
      <c r="H70" s="30" t="s">
        <v>0</v>
      </c>
      <c r="I70" s="30" t="s">
        <v>0</v>
      </c>
      <c r="J70" s="30" t="s">
        <v>0</v>
      </c>
      <c r="K70" s="30" t="s">
        <v>0</v>
      </c>
      <c r="L70" s="30" t="s">
        <v>0</v>
      </c>
      <c r="M70" s="32">
        <f t="shared" si="24"/>
        <v>29362248</v>
      </c>
      <c r="N70" s="32">
        <f t="shared" si="24"/>
        <v>29362248</v>
      </c>
      <c r="O70" s="32">
        <f t="shared" si="24"/>
        <v>29362248</v>
      </c>
      <c r="P70" s="33">
        <f t="shared" si="2"/>
        <v>1</v>
      </c>
    </row>
    <row r="71" spans="1:16" s="34" customFormat="1" ht="48.9" customHeight="1" x14ac:dyDescent="0.25">
      <c r="A71" s="29" t="s">
        <v>234</v>
      </c>
      <c r="B71" s="30" t="s">
        <v>95</v>
      </c>
      <c r="C71" s="30" t="s">
        <v>28</v>
      </c>
      <c r="D71" s="30">
        <v>12</v>
      </c>
      <c r="E71" s="30" t="s">
        <v>111</v>
      </c>
      <c r="F71" s="30" t="s">
        <v>113</v>
      </c>
      <c r="G71" s="30" t="s">
        <v>75</v>
      </c>
      <c r="H71" s="30">
        <v>11270</v>
      </c>
      <c r="I71" s="31" t="s">
        <v>0</v>
      </c>
      <c r="J71" s="31" t="s">
        <v>0</v>
      </c>
      <c r="K71" s="31" t="s">
        <v>0</v>
      </c>
      <c r="L71" s="31" t="s">
        <v>0</v>
      </c>
      <c r="M71" s="32">
        <f t="shared" si="24"/>
        <v>29362248</v>
      </c>
      <c r="N71" s="32">
        <f t="shared" si="24"/>
        <v>29362248</v>
      </c>
      <c r="O71" s="32">
        <f t="shared" si="24"/>
        <v>29362248</v>
      </c>
      <c r="P71" s="33">
        <f t="shared" ref="P71:P134" si="25">O71/M71</f>
        <v>1</v>
      </c>
    </row>
    <row r="72" spans="1:16" s="34" customFormat="1" ht="62.4" x14ac:dyDescent="0.25">
      <c r="A72" s="29" t="s">
        <v>200</v>
      </c>
      <c r="B72" s="30" t="s">
        <v>95</v>
      </c>
      <c r="C72" s="30" t="s">
        <v>28</v>
      </c>
      <c r="D72" s="30">
        <v>12</v>
      </c>
      <c r="E72" s="30" t="s">
        <v>111</v>
      </c>
      <c r="F72" s="30" t="s">
        <v>113</v>
      </c>
      <c r="G72" s="30" t="s">
        <v>75</v>
      </c>
      <c r="H72" s="30">
        <v>11270</v>
      </c>
      <c r="I72" s="30">
        <v>522</v>
      </c>
      <c r="J72" s="30" t="s">
        <v>0</v>
      </c>
      <c r="K72" s="30" t="s">
        <v>0</v>
      </c>
      <c r="L72" s="30" t="s">
        <v>0</v>
      </c>
      <c r="M72" s="32">
        <f>M74</f>
        <v>29362248</v>
      </c>
      <c r="N72" s="32">
        <f t="shared" ref="N72:O72" si="26">N74</f>
        <v>29362248</v>
      </c>
      <c r="O72" s="32">
        <f t="shared" si="26"/>
        <v>29362248</v>
      </c>
      <c r="P72" s="33">
        <f t="shared" si="25"/>
        <v>1</v>
      </c>
    </row>
    <row r="73" spans="1:16" s="34" customFormat="1" ht="31.2" x14ac:dyDescent="0.25">
      <c r="A73" s="31" t="s">
        <v>246</v>
      </c>
      <c r="B73" s="30"/>
      <c r="C73" s="30"/>
      <c r="D73" s="30" t="s">
        <v>0</v>
      </c>
      <c r="E73" s="30" t="s">
        <v>0</v>
      </c>
      <c r="F73" s="30" t="s">
        <v>0</v>
      </c>
      <c r="G73" s="30" t="s">
        <v>0</v>
      </c>
      <c r="H73" s="31" t="s">
        <v>0</v>
      </c>
      <c r="I73" s="31" t="s">
        <v>0</v>
      </c>
      <c r="J73" s="31" t="s">
        <v>0</v>
      </c>
      <c r="K73" s="31" t="s">
        <v>0</v>
      </c>
      <c r="L73" s="31" t="s">
        <v>0</v>
      </c>
      <c r="M73" s="32">
        <f>M74</f>
        <v>29362248</v>
      </c>
      <c r="N73" s="32">
        <f t="shared" ref="N73:O73" si="27">N74</f>
        <v>29362248</v>
      </c>
      <c r="O73" s="32">
        <f t="shared" si="27"/>
        <v>29362248</v>
      </c>
      <c r="P73" s="33">
        <f t="shared" si="25"/>
        <v>1</v>
      </c>
    </row>
    <row r="74" spans="1:16" ht="31.2" x14ac:dyDescent="0.25">
      <c r="A74" s="18" t="s">
        <v>357</v>
      </c>
      <c r="B74" s="19">
        <v>15</v>
      </c>
      <c r="C74" s="19">
        <v>0</v>
      </c>
      <c r="D74" s="19">
        <v>12</v>
      </c>
      <c r="E74" s="19">
        <v>815</v>
      </c>
      <c r="F74" s="16" t="s">
        <v>113</v>
      </c>
      <c r="G74" s="16" t="s">
        <v>75</v>
      </c>
      <c r="H74" s="19">
        <v>11270</v>
      </c>
      <c r="I74" s="19">
        <v>522</v>
      </c>
      <c r="J74" s="19" t="s">
        <v>172</v>
      </c>
      <c r="K74" s="20">
        <v>38000</v>
      </c>
      <c r="L74" s="19">
        <v>2020</v>
      </c>
      <c r="M74" s="17">
        <v>29362248</v>
      </c>
      <c r="N74" s="17">
        <v>29362248</v>
      </c>
      <c r="O74" s="17">
        <v>29362248</v>
      </c>
      <c r="P74" s="28">
        <f t="shared" si="25"/>
        <v>1</v>
      </c>
    </row>
    <row r="75" spans="1:16" s="34" customFormat="1" ht="32.25" customHeight="1" x14ac:dyDescent="0.25">
      <c r="A75" s="29" t="s">
        <v>123</v>
      </c>
      <c r="B75" s="30" t="s">
        <v>124</v>
      </c>
      <c r="C75" s="30" t="s">
        <v>0</v>
      </c>
      <c r="D75" s="30" t="s">
        <v>0</v>
      </c>
      <c r="E75" s="30" t="s">
        <v>0</v>
      </c>
      <c r="F75" s="30" t="s">
        <v>0</v>
      </c>
      <c r="G75" s="30" t="s">
        <v>0</v>
      </c>
      <c r="H75" s="31" t="s">
        <v>0</v>
      </c>
      <c r="I75" s="31" t="s">
        <v>0</v>
      </c>
      <c r="J75" s="31" t="s">
        <v>0</v>
      </c>
      <c r="K75" s="31" t="s">
        <v>0</v>
      </c>
      <c r="L75" s="31" t="s">
        <v>0</v>
      </c>
      <c r="M75" s="32">
        <f>M76</f>
        <v>491598151.93000001</v>
      </c>
      <c r="N75" s="32">
        <f t="shared" ref="N75:O78" si="28">N76</f>
        <v>387780547.31</v>
      </c>
      <c r="O75" s="32">
        <f t="shared" si="28"/>
        <v>387780547.31</v>
      </c>
      <c r="P75" s="33">
        <f t="shared" si="25"/>
        <v>0.78881612102808951</v>
      </c>
    </row>
    <row r="76" spans="1:16" s="34" customFormat="1" ht="64.5" customHeight="1" x14ac:dyDescent="0.25">
      <c r="A76" s="29" t="s">
        <v>249</v>
      </c>
      <c r="B76" s="30" t="s">
        <v>124</v>
      </c>
      <c r="C76" s="30" t="s">
        <v>28</v>
      </c>
      <c r="D76" s="30" t="s">
        <v>250</v>
      </c>
      <c r="E76" s="30" t="s">
        <v>0</v>
      </c>
      <c r="F76" s="30" t="s">
        <v>0</v>
      </c>
      <c r="G76" s="30" t="s">
        <v>0</v>
      </c>
      <c r="H76" s="31" t="s">
        <v>0</v>
      </c>
      <c r="I76" s="31" t="s">
        <v>0</v>
      </c>
      <c r="J76" s="31" t="s">
        <v>0</v>
      </c>
      <c r="K76" s="31" t="s">
        <v>0</v>
      </c>
      <c r="L76" s="31" t="s">
        <v>0</v>
      </c>
      <c r="M76" s="32">
        <f>M77</f>
        <v>491598151.93000001</v>
      </c>
      <c r="N76" s="32">
        <f t="shared" si="28"/>
        <v>387780547.31</v>
      </c>
      <c r="O76" s="32">
        <f t="shared" si="28"/>
        <v>387780547.31</v>
      </c>
      <c r="P76" s="33">
        <f t="shared" si="25"/>
        <v>0.78881612102808951</v>
      </c>
    </row>
    <row r="77" spans="1:16" s="34" customFormat="1" ht="32.25" customHeight="1" x14ac:dyDescent="0.25">
      <c r="A77" s="29" t="s">
        <v>29</v>
      </c>
      <c r="B77" s="30" t="s">
        <v>124</v>
      </c>
      <c r="C77" s="30" t="s">
        <v>28</v>
      </c>
      <c r="D77" s="30" t="s">
        <v>250</v>
      </c>
      <c r="E77" s="30" t="s">
        <v>30</v>
      </c>
      <c r="F77" s="30" t="s">
        <v>0</v>
      </c>
      <c r="G77" s="30" t="s">
        <v>0</v>
      </c>
      <c r="H77" s="31" t="s">
        <v>0</v>
      </c>
      <c r="I77" s="31" t="s">
        <v>0</v>
      </c>
      <c r="J77" s="31" t="s">
        <v>0</v>
      </c>
      <c r="K77" s="31" t="s">
        <v>0</v>
      </c>
      <c r="L77" s="31" t="s">
        <v>0</v>
      </c>
      <c r="M77" s="32">
        <f>M78</f>
        <v>491598151.93000001</v>
      </c>
      <c r="N77" s="32">
        <f t="shared" si="28"/>
        <v>387780547.31</v>
      </c>
      <c r="O77" s="32">
        <f t="shared" si="28"/>
        <v>387780547.31</v>
      </c>
      <c r="P77" s="33">
        <f t="shared" si="25"/>
        <v>0.78881612102808951</v>
      </c>
    </row>
    <row r="78" spans="1:16" s="34" customFormat="1" ht="15" customHeight="1" x14ac:dyDescent="0.25">
      <c r="A78" s="35" t="s">
        <v>126</v>
      </c>
      <c r="B78" s="30" t="s">
        <v>124</v>
      </c>
      <c r="C78" s="30" t="s">
        <v>28</v>
      </c>
      <c r="D78" s="30" t="s">
        <v>250</v>
      </c>
      <c r="E78" s="30" t="s">
        <v>30</v>
      </c>
      <c r="F78" s="30" t="s">
        <v>39</v>
      </c>
      <c r="G78" s="30" t="s">
        <v>0</v>
      </c>
      <c r="H78" s="30" t="s">
        <v>0</v>
      </c>
      <c r="I78" s="30" t="s">
        <v>0</v>
      </c>
      <c r="J78" s="30" t="s">
        <v>0</v>
      </c>
      <c r="K78" s="30" t="s">
        <v>0</v>
      </c>
      <c r="L78" s="30" t="s">
        <v>0</v>
      </c>
      <c r="M78" s="32">
        <f>M79</f>
        <v>491598151.93000001</v>
      </c>
      <c r="N78" s="32">
        <f t="shared" si="28"/>
        <v>387780547.31</v>
      </c>
      <c r="O78" s="32">
        <f t="shared" si="28"/>
        <v>387780547.31</v>
      </c>
      <c r="P78" s="33">
        <f t="shared" si="25"/>
        <v>0.78881612102808951</v>
      </c>
    </row>
    <row r="79" spans="1:16" s="34" customFormat="1" ht="15" customHeight="1" x14ac:dyDescent="0.25">
      <c r="A79" s="35" t="s">
        <v>251</v>
      </c>
      <c r="B79" s="30" t="s">
        <v>124</v>
      </c>
      <c r="C79" s="30" t="s">
        <v>28</v>
      </c>
      <c r="D79" s="30" t="s">
        <v>250</v>
      </c>
      <c r="E79" s="30" t="s">
        <v>30</v>
      </c>
      <c r="F79" s="30" t="s">
        <v>39</v>
      </c>
      <c r="G79" s="30" t="s">
        <v>75</v>
      </c>
      <c r="H79" s="30" t="s">
        <v>0</v>
      </c>
      <c r="I79" s="30" t="s">
        <v>0</v>
      </c>
      <c r="J79" s="30" t="s">
        <v>0</v>
      </c>
      <c r="K79" s="30" t="s">
        <v>0</v>
      </c>
      <c r="L79" s="30" t="s">
        <v>0</v>
      </c>
      <c r="M79" s="32">
        <f>M81+M90</f>
        <v>491598151.93000001</v>
      </c>
      <c r="N79" s="32">
        <f t="shared" ref="N79:O79" si="29">N81+N90</f>
        <v>387780547.31</v>
      </c>
      <c r="O79" s="32">
        <f t="shared" si="29"/>
        <v>387780547.31</v>
      </c>
      <c r="P79" s="33">
        <f t="shared" si="25"/>
        <v>0.78881612102808951</v>
      </c>
    </row>
    <row r="80" spans="1:16" s="34" customFormat="1" ht="48.9" customHeight="1" x14ac:dyDescent="0.25">
      <c r="A80" s="29" t="s">
        <v>234</v>
      </c>
      <c r="B80" s="30" t="s">
        <v>124</v>
      </c>
      <c r="C80" s="30" t="s">
        <v>28</v>
      </c>
      <c r="D80" s="30" t="s">
        <v>250</v>
      </c>
      <c r="E80" s="30" t="s">
        <v>30</v>
      </c>
      <c r="F80" s="30" t="s">
        <v>39</v>
      </c>
      <c r="G80" s="30" t="s">
        <v>75</v>
      </c>
      <c r="H80" s="30" t="s">
        <v>235</v>
      </c>
      <c r="I80" s="31" t="s">
        <v>0</v>
      </c>
      <c r="J80" s="31" t="s">
        <v>0</v>
      </c>
      <c r="K80" s="31" t="s">
        <v>0</v>
      </c>
      <c r="L80" s="31" t="s">
        <v>0</v>
      </c>
      <c r="M80" s="32">
        <f>M81</f>
        <v>199550000</v>
      </c>
      <c r="N80" s="32">
        <f t="shared" ref="N80:O80" si="30">N81</f>
        <v>123016053.58999999</v>
      </c>
      <c r="O80" s="32">
        <f t="shared" si="30"/>
        <v>123016053.58999999</v>
      </c>
      <c r="P80" s="33">
        <f t="shared" si="25"/>
        <v>0.61646731941869204</v>
      </c>
    </row>
    <row r="81" spans="1:16" s="34" customFormat="1" ht="64.5" customHeight="1" x14ac:dyDescent="0.25">
      <c r="A81" s="29" t="s">
        <v>200</v>
      </c>
      <c r="B81" s="30" t="s">
        <v>124</v>
      </c>
      <c r="C81" s="30" t="s">
        <v>28</v>
      </c>
      <c r="D81" s="30" t="s">
        <v>250</v>
      </c>
      <c r="E81" s="30" t="s">
        <v>30</v>
      </c>
      <c r="F81" s="30" t="s">
        <v>39</v>
      </c>
      <c r="G81" s="30" t="s">
        <v>75</v>
      </c>
      <c r="H81" s="30" t="s">
        <v>235</v>
      </c>
      <c r="I81" s="30" t="s">
        <v>201</v>
      </c>
      <c r="J81" s="30" t="s">
        <v>0</v>
      </c>
      <c r="K81" s="30" t="s">
        <v>0</v>
      </c>
      <c r="L81" s="30" t="s">
        <v>0</v>
      </c>
      <c r="M81" s="32">
        <f>M82+M84+M86+M88</f>
        <v>199550000</v>
      </c>
      <c r="N81" s="32">
        <f t="shared" ref="N81:O81" si="31">N82+N84+N86+N88</f>
        <v>123016053.58999999</v>
      </c>
      <c r="O81" s="32">
        <f t="shared" si="31"/>
        <v>123016053.58999999</v>
      </c>
      <c r="P81" s="33">
        <f t="shared" si="25"/>
        <v>0.61646731941869204</v>
      </c>
    </row>
    <row r="82" spans="1:16" s="34" customFormat="1" ht="30" customHeight="1" x14ac:dyDescent="0.25">
      <c r="A82" s="29" t="s">
        <v>331</v>
      </c>
      <c r="B82" s="36" t="s">
        <v>0</v>
      </c>
      <c r="C82" s="36" t="s">
        <v>0</v>
      </c>
      <c r="D82" s="36" t="s">
        <v>0</v>
      </c>
      <c r="E82" s="36" t="s">
        <v>0</v>
      </c>
      <c r="F82" s="36" t="s">
        <v>0</v>
      </c>
      <c r="G82" s="36" t="s">
        <v>0</v>
      </c>
      <c r="H82" s="36" t="s">
        <v>0</v>
      </c>
      <c r="I82" s="36" t="s">
        <v>0</v>
      </c>
      <c r="J82" s="36" t="s">
        <v>0</v>
      </c>
      <c r="K82" s="36" t="s">
        <v>0</v>
      </c>
      <c r="L82" s="36" t="s">
        <v>0</v>
      </c>
      <c r="M82" s="32">
        <f>M83</f>
        <v>46550000</v>
      </c>
      <c r="N82" s="32">
        <f t="shared" ref="N82:O82" si="32">N83</f>
        <v>46396790.460000001</v>
      </c>
      <c r="O82" s="32">
        <f t="shared" si="32"/>
        <v>46396790.460000001</v>
      </c>
      <c r="P82" s="33">
        <f t="shared" si="25"/>
        <v>0.99670871020408169</v>
      </c>
    </row>
    <row r="83" spans="1:16" ht="48.9" customHeight="1" x14ac:dyDescent="0.25">
      <c r="A83" s="18" t="s">
        <v>365</v>
      </c>
      <c r="B83" s="19" t="s">
        <v>124</v>
      </c>
      <c r="C83" s="19" t="s">
        <v>28</v>
      </c>
      <c r="D83" s="19" t="s">
        <v>250</v>
      </c>
      <c r="E83" s="19" t="s">
        <v>30</v>
      </c>
      <c r="F83" s="19" t="s">
        <v>39</v>
      </c>
      <c r="G83" s="19" t="s">
        <v>75</v>
      </c>
      <c r="H83" s="19" t="s">
        <v>235</v>
      </c>
      <c r="I83" s="19" t="s">
        <v>201</v>
      </c>
      <c r="J83" s="21" t="s">
        <v>77</v>
      </c>
      <c r="K83" s="21" t="s">
        <v>252</v>
      </c>
      <c r="L83" s="21" t="s">
        <v>53</v>
      </c>
      <c r="M83" s="17">
        <f>38606081+7943919</f>
        <v>46550000</v>
      </c>
      <c r="N83" s="17">
        <v>46396790.460000001</v>
      </c>
      <c r="O83" s="17">
        <v>46396790.460000001</v>
      </c>
      <c r="P83" s="28">
        <f t="shared" si="25"/>
        <v>0.99670871020408169</v>
      </c>
    </row>
    <row r="84" spans="1:16" s="34" customFormat="1" ht="30" customHeight="1" x14ac:dyDescent="0.25">
      <c r="A84" s="29" t="s">
        <v>253</v>
      </c>
      <c r="B84" s="36" t="s">
        <v>0</v>
      </c>
      <c r="C84" s="36" t="s">
        <v>0</v>
      </c>
      <c r="D84" s="36" t="s">
        <v>0</v>
      </c>
      <c r="E84" s="36" t="s">
        <v>0</v>
      </c>
      <c r="F84" s="36" t="s">
        <v>0</v>
      </c>
      <c r="G84" s="36" t="s">
        <v>0</v>
      </c>
      <c r="H84" s="36" t="s">
        <v>0</v>
      </c>
      <c r="I84" s="36" t="s">
        <v>0</v>
      </c>
      <c r="J84" s="36" t="s">
        <v>0</v>
      </c>
      <c r="K84" s="36" t="s">
        <v>0</v>
      </c>
      <c r="L84" s="36" t="s">
        <v>0</v>
      </c>
      <c r="M84" s="32">
        <f>M85</f>
        <v>52250000</v>
      </c>
      <c r="N84" s="32">
        <f t="shared" ref="N84:O84" si="33">N85</f>
        <v>51984399.799999997</v>
      </c>
      <c r="O84" s="32">
        <f t="shared" si="33"/>
        <v>51984399.799999997</v>
      </c>
      <c r="P84" s="33">
        <f t="shared" si="25"/>
        <v>0.99491674258373197</v>
      </c>
    </row>
    <row r="85" spans="1:16" ht="48.9" customHeight="1" x14ac:dyDescent="0.25">
      <c r="A85" s="18" t="s">
        <v>328</v>
      </c>
      <c r="B85" s="19" t="s">
        <v>124</v>
      </c>
      <c r="C85" s="19" t="s">
        <v>28</v>
      </c>
      <c r="D85" s="19" t="s">
        <v>250</v>
      </c>
      <c r="E85" s="19" t="s">
        <v>30</v>
      </c>
      <c r="F85" s="19" t="s">
        <v>39</v>
      </c>
      <c r="G85" s="19" t="s">
        <v>75</v>
      </c>
      <c r="H85" s="19" t="s">
        <v>235</v>
      </c>
      <c r="I85" s="19" t="s">
        <v>201</v>
      </c>
      <c r="J85" s="21" t="s">
        <v>77</v>
      </c>
      <c r="K85" s="21" t="s">
        <v>252</v>
      </c>
      <c r="L85" s="21" t="s">
        <v>53</v>
      </c>
      <c r="M85" s="17">
        <v>52250000</v>
      </c>
      <c r="N85" s="17">
        <v>51984399.799999997</v>
      </c>
      <c r="O85" s="17">
        <v>51984399.799999997</v>
      </c>
      <c r="P85" s="28">
        <f t="shared" si="25"/>
        <v>0.99491674258373197</v>
      </c>
    </row>
    <row r="86" spans="1:16" s="34" customFormat="1" ht="30" customHeight="1" x14ac:dyDescent="0.25">
      <c r="A86" s="29" t="s">
        <v>241</v>
      </c>
      <c r="B86" s="36" t="s">
        <v>0</v>
      </c>
      <c r="C86" s="36" t="s">
        <v>0</v>
      </c>
      <c r="D86" s="36" t="s">
        <v>0</v>
      </c>
      <c r="E86" s="36" t="s">
        <v>0</v>
      </c>
      <c r="F86" s="36" t="s">
        <v>0</v>
      </c>
      <c r="G86" s="36" t="s">
        <v>0</v>
      </c>
      <c r="H86" s="36" t="s">
        <v>0</v>
      </c>
      <c r="I86" s="36" t="s">
        <v>0</v>
      </c>
      <c r="J86" s="36" t="s">
        <v>0</v>
      </c>
      <c r="K86" s="36" t="s">
        <v>0</v>
      </c>
      <c r="L86" s="36" t="s">
        <v>0</v>
      </c>
      <c r="M86" s="32">
        <f>M87</f>
        <v>80750000</v>
      </c>
      <c r="N86" s="32">
        <f t="shared" ref="N86:O86" si="34">N87</f>
        <v>13082269.310000001</v>
      </c>
      <c r="O86" s="32">
        <f t="shared" si="34"/>
        <v>13082269.310000001</v>
      </c>
      <c r="P86" s="33">
        <f t="shared" si="25"/>
        <v>0.16200952705882354</v>
      </c>
    </row>
    <row r="87" spans="1:16" ht="48.9" customHeight="1" x14ac:dyDescent="0.25">
      <c r="A87" s="18" t="s">
        <v>375</v>
      </c>
      <c r="B87" s="19" t="s">
        <v>124</v>
      </c>
      <c r="C87" s="19" t="s">
        <v>28</v>
      </c>
      <c r="D87" s="19" t="s">
        <v>250</v>
      </c>
      <c r="E87" s="19" t="s">
        <v>30</v>
      </c>
      <c r="F87" s="19" t="s">
        <v>39</v>
      </c>
      <c r="G87" s="19" t="s">
        <v>75</v>
      </c>
      <c r="H87" s="19" t="s">
        <v>235</v>
      </c>
      <c r="I87" s="19" t="s">
        <v>201</v>
      </c>
      <c r="J87" s="21" t="s">
        <v>77</v>
      </c>
      <c r="K87" s="21">
        <v>200</v>
      </c>
      <c r="L87" s="21">
        <v>2021</v>
      </c>
      <c r="M87" s="17">
        <v>80750000</v>
      </c>
      <c r="N87" s="17">
        <v>13082269.310000001</v>
      </c>
      <c r="O87" s="17">
        <v>13082269.310000001</v>
      </c>
      <c r="P87" s="28">
        <f t="shared" si="25"/>
        <v>0.16200952705882354</v>
      </c>
    </row>
    <row r="88" spans="1:16" s="34" customFormat="1" ht="30" customHeight="1" x14ac:dyDescent="0.25">
      <c r="A88" s="29" t="s">
        <v>255</v>
      </c>
      <c r="B88" s="36" t="s">
        <v>0</v>
      </c>
      <c r="C88" s="36" t="s">
        <v>0</v>
      </c>
      <c r="D88" s="36" t="s">
        <v>0</v>
      </c>
      <c r="E88" s="36" t="s">
        <v>0</v>
      </c>
      <c r="F88" s="36" t="s">
        <v>0</v>
      </c>
      <c r="G88" s="36" t="s">
        <v>0</v>
      </c>
      <c r="H88" s="36" t="s">
        <v>0</v>
      </c>
      <c r="I88" s="36" t="s">
        <v>0</v>
      </c>
      <c r="J88" s="36" t="s">
        <v>0</v>
      </c>
      <c r="K88" s="36" t="s">
        <v>0</v>
      </c>
      <c r="L88" s="36" t="s">
        <v>0</v>
      </c>
      <c r="M88" s="32">
        <f>M89</f>
        <v>20000000</v>
      </c>
      <c r="N88" s="32">
        <f t="shared" ref="N88:O88" si="35">N89</f>
        <v>11552594.02</v>
      </c>
      <c r="O88" s="32">
        <f t="shared" si="35"/>
        <v>11552594.02</v>
      </c>
      <c r="P88" s="33">
        <f t="shared" si="25"/>
        <v>0.577629701</v>
      </c>
    </row>
    <row r="89" spans="1:16" ht="48.9" customHeight="1" x14ac:dyDescent="0.25">
      <c r="A89" s="18" t="s">
        <v>256</v>
      </c>
      <c r="B89" s="19" t="s">
        <v>124</v>
      </c>
      <c r="C89" s="19" t="s">
        <v>28</v>
      </c>
      <c r="D89" s="19" t="s">
        <v>250</v>
      </c>
      <c r="E89" s="19" t="s">
        <v>30</v>
      </c>
      <c r="F89" s="19" t="s">
        <v>39</v>
      </c>
      <c r="G89" s="19" t="s">
        <v>75</v>
      </c>
      <c r="H89" s="19" t="s">
        <v>235</v>
      </c>
      <c r="I89" s="19" t="s">
        <v>201</v>
      </c>
      <c r="J89" s="21" t="s">
        <v>77</v>
      </c>
      <c r="K89" s="21" t="s">
        <v>254</v>
      </c>
      <c r="L89" s="21" t="s">
        <v>79</v>
      </c>
      <c r="M89" s="17">
        <v>20000000</v>
      </c>
      <c r="N89" s="17">
        <v>11552594.02</v>
      </c>
      <c r="O89" s="17">
        <v>11552594.02</v>
      </c>
      <c r="P89" s="28">
        <f t="shared" si="25"/>
        <v>0.577629701</v>
      </c>
    </row>
    <row r="90" spans="1:16" s="34" customFormat="1" ht="112.35" customHeight="1" x14ac:dyDescent="0.25">
      <c r="A90" s="29" t="s">
        <v>257</v>
      </c>
      <c r="B90" s="30" t="s">
        <v>124</v>
      </c>
      <c r="C90" s="30" t="s">
        <v>28</v>
      </c>
      <c r="D90" s="30" t="s">
        <v>250</v>
      </c>
      <c r="E90" s="30" t="s">
        <v>30</v>
      </c>
      <c r="F90" s="30" t="s">
        <v>39</v>
      </c>
      <c r="G90" s="30" t="s">
        <v>75</v>
      </c>
      <c r="H90" s="30" t="s">
        <v>258</v>
      </c>
      <c r="I90" s="31" t="s">
        <v>0</v>
      </c>
      <c r="J90" s="31" t="s">
        <v>0</v>
      </c>
      <c r="K90" s="31" t="s">
        <v>0</v>
      </c>
      <c r="L90" s="31" t="s">
        <v>0</v>
      </c>
      <c r="M90" s="32">
        <f>M91</f>
        <v>292048151.93000001</v>
      </c>
      <c r="N90" s="32">
        <f t="shared" ref="N90:O91" si="36">N91</f>
        <v>264764493.72000003</v>
      </c>
      <c r="O90" s="32">
        <f t="shared" si="36"/>
        <v>264764493.72000003</v>
      </c>
      <c r="P90" s="33">
        <f t="shared" si="25"/>
        <v>0.90657821996237287</v>
      </c>
    </row>
    <row r="91" spans="1:16" s="34" customFormat="1" ht="64.5" customHeight="1" x14ac:dyDescent="0.25">
      <c r="A91" s="29" t="s">
        <v>200</v>
      </c>
      <c r="B91" s="30" t="s">
        <v>124</v>
      </c>
      <c r="C91" s="30" t="s">
        <v>28</v>
      </c>
      <c r="D91" s="30" t="s">
        <v>250</v>
      </c>
      <c r="E91" s="30" t="s">
        <v>30</v>
      </c>
      <c r="F91" s="30" t="s">
        <v>39</v>
      </c>
      <c r="G91" s="30" t="s">
        <v>75</v>
      </c>
      <c r="H91" s="30" t="s">
        <v>258</v>
      </c>
      <c r="I91" s="30" t="s">
        <v>201</v>
      </c>
      <c r="J91" s="30" t="s">
        <v>0</v>
      </c>
      <c r="K91" s="30" t="s">
        <v>0</v>
      </c>
      <c r="L91" s="30" t="s">
        <v>0</v>
      </c>
      <c r="M91" s="32">
        <f>M92</f>
        <v>292048151.93000001</v>
      </c>
      <c r="N91" s="32">
        <f t="shared" si="36"/>
        <v>264764493.72000003</v>
      </c>
      <c r="O91" s="32">
        <f t="shared" si="36"/>
        <v>264764493.72000003</v>
      </c>
      <c r="P91" s="33">
        <f t="shared" si="25"/>
        <v>0.90657821996237287</v>
      </c>
    </row>
    <row r="92" spans="1:16" s="34" customFormat="1" ht="30" customHeight="1" x14ac:dyDescent="0.25">
      <c r="A92" s="29" t="s">
        <v>332</v>
      </c>
      <c r="B92" s="36" t="s">
        <v>0</v>
      </c>
      <c r="C92" s="36" t="s">
        <v>0</v>
      </c>
      <c r="D92" s="36" t="s">
        <v>0</v>
      </c>
      <c r="E92" s="36" t="s">
        <v>0</v>
      </c>
      <c r="F92" s="36" t="s">
        <v>0</v>
      </c>
      <c r="G92" s="36" t="s">
        <v>0</v>
      </c>
      <c r="H92" s="36" t="s">
        <v>0</v>
      </c>
      <c r="I92" s="36" t="s">
        <v>0</v>
      </c>
      <c r="J92" s="36" t="s">
        <v>0</v>
      </c>
      <c r="K92" s="36" t="s">
        <v>0</v>
      </c>
      <c r="L92" s="36" t="s">
        <v>0</v>
      </c>
      <c r="M92" s="32">
        <f>M93+M94+M95+M96</f>
        <v>292048151.93000001</v>
      </c>
      <c r="N92" s="32">
        <f t="shared" ref="N92:O92" si="37">N93+N94+N95+N96</f>
        <v>264764493.72000003</v>
      </c>
      <c r="O92" s="32">
        <f t="shared" si="37"/>
        <v>264764493.72000003</v>
      </c>
      <c r="P92" s="33">
        <f t="shared" si="25"/>
        <v>0.90657821996237287</v>
      </c>
    </row>
    <row r="93" spans="1:16" ht="48.9" customHeight="1" x14ac:dyDescent="0.25">
      <c r="A93" s="18" t="s">
        <v>259</v>
      </c>
      <c r="B93" s="19" t="s">
        <v>124</v>
      </c>
      <c r="C93" s="19" t="s">
        <v>28</v>
      </c>
      <c r="D93" s="19" t="s">
        <v>250</v>
      </c>
      <c r="E93" s="19" t="s">
        <v>30</v>
      </c>
      <c r="F93" s="19" t="s">
        <v>39</v>
      </c>
      <c r="G93" s="19" t="s">
        <v>75</v>
      </c>
      <c r="H93" s="19" t="s">
        <v>258</v>
      </c>
      <c r="I93" s="19" t="s">
        <v>201</v>
      </c>
      <c r="J93" s="21" t="s">
        <v>77</v>
      </c>
      <c r="K93" s="21" t="s">
        <v>260</v>
      </c>
      <c r="L93" s="21" t="s">
        <v>79</v>
      </c>
      <c r="M93" s="17">
        <f>91448370.23-8849350.8</f>
        <v>82599019.430000007</v>
      </c>
      <c r="N93" s="17">
        <v>64925617.670000002</v>
      </c>
      <c r="O93" s="17">
        <v>64925617.670000002</v>
      </c>
      <c r="P93" s="28">
        <f t="shared" si="25"/>
        <v>0.78603375824603294</v>
      </c>
    </row>
    <row r="94" spans="1:16" ht="48.9" customHeight="1" x14ac:dyDescent="0.25">
      <c r="A94" s="18" t="s">
        <v>261</v>
      </c>
      <c r="B94" s="19" t="s">
        <v>124</v>
      </c>
      <c r="C94" s="19" t="s">
        <v>28</v>
      </c>
      <c r="D94" s="19" t="s">
        <v>250</v>
      </c>
      <c r="E94" s="19" t="s">
        <v>30</v>
      </c>
      <c r="F94" s="19" t="s">
        <v>39</v>
      </c>
      <c r="G94" s="19" t="s">
        <v>75</v>
      </c>
      <c r="H94" s="19" t="s">
        <v>258</v>
      </c>
      <c r="I94" s="19" t="s">
        <v>201</v>
      </c>
      <c r="J94" s="21" t="s">
        <v>77</v>
      </c>
      <c r="K94" s="21" t="s">
        <v>260</v>
      </c>
      <c r="L94" s="21" t="s">
        <v>53</v>
      </c>
      <c r="M94" s="17">
        <f>47555468.8+3417713.93+39303700+8849350.8</f>
        <v>99126233.529999986</v>
      </c>
      <c r="N94" s="17">
        <v>89515977.079999998</v>
      </c>
      <c r="O94" s="17">
        <v>89515977.079999998</v>
      </c>
      <c r="P94" s="28">
        <f t="shared" si="25"/>
        <v>0.9030503217184026</v>
      </c>
    </row>
    <row r="95" spans="1:16" ht="48.9" customHeight="1" x14ac:dyDescent="0.25">
      <c r="A95" s="18" t="s">
        <v>262</v>
      </c>
      <c r="B95" s="19" t="s">
        <v>124</v>
      </c>
      <c r="C95" s="19" t="s">
        <v>28</v>
      </c>
      <c r="D95" s="19" t="s">
        <v>250</v>
      </c>
      <c r="E95" s="19" t="s">
        <v>30</v>
      </c>
      <c r="F95" s="19" t="s">
        <v>39</v>
      </c>
      <c r="G95" s="19" t="s">
        <v>75</v>
      </c>
      <c r="H95" s="19" t="s">
        <v>258</v>
      </c>
      <c r="I95" s="19" t="s">
        <v>201</v>
      </c>
      <c r="J95" s="21" t="s">
        <v>77</v>
      </c>
      <c r="K95" s="21" t="s">
        <v>252</v>
      </c>
      <c r="L95" s="21" t="s">
        <v>53</v>
      </c>
      <c r="M95" s="17">
        <v>55035061.609999999</v>
      </c>
      <c r="N95" s="17">
        <v>55035061.609999999</v>
      </c>
      <c r="O95" s="17">
        <v>55035061.609999999</v>
      </c>
      <c r="P95" s="28">
        <f t="shared" si="25"/>
        <v>1</v>
      </c>
    </row>
    <row r="96" spans="1:16" ht="48.9" customHeight="1" x14ac:dyDescent="0.25">
      <c r="A96" s="18" t="s">
        <v>367</v>
      </c>
      <c r="B96" s="19" t="s">
        <v>124</v>
      </c>
      <c r="C96" s="19" t="s">
        <v>28</v>
      </c>
      <c r="D96" s="19" t="s">
        <v>250</v>
      </c>
      <c r="E96" s="19" t="s">
        <v>30</v>
      </c>
      <c r="F96" s="19" t="s">
        <v>39</v>
      </c>
      <c r="G96" s="19" t="s">
        <v>75</v>
      </c>
      <c r="H96" s="19" t="s">
        <v>258</v>
      </c>
      <c r="I96" s="19" t="s">
        <v>201</v>
      </c>
      <c r="J96" s="21" t="s">
        <v>77</v>
      </c>
      <c r="K96" s="21" t="s">
        <v>252</v>
      </c>
      <c r="L96" s="21" t="s">
        <v>53</v>
      </c>
      <c r="M96" s="17">
        <v>55287837.359999999</v>
      </c>
      <c r="N96" s="17">
        <v>55287837.359999999</v>
      </c>
      <c r="O96" s="17">
        <v>55287837.359999999</v>
      </c>
      <c r="P96" s="28">
        <f t="shared" si="25"/>
        <v>1</v>
      </c>
    </row>
    <row r="97" spans="1:16" s="34" customFormat="1" ht="80.099999999999994" customHeight="1" x14ac:dyDescent="0.25">
      <c r="A97" s="29" t="s">
        <v>131</v>
      </c>
      <c r="B97" s="30" t="s">
        <v>132</v>
      </c>
      <c r="C97" s="30" t="s">
        <v>0</v>
      </c>
      <c r="D97" s="30" t="s">
        <v>0</v>
      </c>
      <c r="E97" s="30" t="s">
        <v>0</v>
      </c>
      <c r="F97" s="30" t="s">
        <v>0</v>
      </c>
      <c r="G97" s="30" t="s">
        <v>0</v>
      </c>
      <c r="H97" s="31" t="s">
        <v>0</v>
      </c>
      <c r="I97" s="31" t="s">
        <v>0</v>
      </c>
      <c r="J97" s="31" t="s">
        <v>0</v>
      </c>
      <c r="K97" s="31" t="s">
        <v>0</v>
      </c>
      <c r="L97" s="31" t="s">
        <v>0</v>
      </c>
      <c r="M97" s="32">
        <f>M98+M107+M164+M191</f>
        <v>1798342450.8199999</v>
      </c>
      <c r="N97" s="32">
        <f t="shared" ref="N97:O97" si="38">N98+N107+N164+N191</f>
        <v>1765334146</v>
      </c>
      <c r="O97" s="32">
        <f t="shared" si="38"/>
        <v>1765334146</v>
      </c>
      <c r="P97" s="33">
        <f t="shared" si="25"/>
        <v>0.98164515061914437</v>
      </c>
    </row>
    <row r="98" spans="1:16" s="34" customFormat="1" ht="96.6" customHeight="1" x14ac:dyDescent="0.25">
      <c r="A98" s="29" t="s">
        <v>263</v>
      </c>
      <c r="B98" s="30" t="s">
        <v>132</v>
      </c>
      <c r="C98" s="30" t="s">
        <v>13</v>
      </c>
      <c r="D98" s="30" t="s">
        <v>0</v>
      </c>
      <c r="E98" s="30" t="s">
        <v>0</v>
      </c>
      <c r="F98" s="30" t="s">
        <v>0</v>
      </c>
      <c r="G98" s="30" t="s">
        <v>0</v>
      </c>
      <c r="H98" s="31" t="s">
        <v>0</v>
      </c>
      <c r="I98" s="31" t="s">
        <v>0</v>
      </c>
      <c r="J98" s="31" t="s">
        <v>0</v>
      </c>
      <c r="K98" s="31" t="s">
        <v>0</v>
      </c>
      <c r="L98" s="31" t="s">
        <v>0</v>
      </c>
      <c r="M98" s="32">
        <f t="shared" ref="M98:O105" si="39">M99</f>
        <v>13495639.98</v>
      </c>
      <c r="N98" s="32">
        <f t="shared" si="39"/>
        <v>13495639.98</v>
      </c>
      <c r="O98" s="32">
        <f t="shared" si="39"/>
        <v>13495639.98</v>
      </c>
      <c r="P98" s="33">
        <f t="shared" si="25"/>
        <v>1</v>
      </c>
    </row>
    <row r="99" spans="1:16" s="34" customFormat="1" ht="48.9" customHeight="1" x14ac:dyDescent="0.25">
      <c r="A99" s="29" t="s">
        <v>264</v>
      </c>
      <c r="B99" s="30" t="s">
        <v>132</v>
      </c>
      <c r="C99" s="30" t="s">
        <v>13</v>
      </c>
      <c r="D99" s="30" t="s">
        <v>265</v>
      </c>
      <c r="E99" s="30" t="s">
        <v>0</v>
      </c>
      <c r="F99" s="30" t="s">
        <v>0</v>
      </c>
      <c r="G99" s="30" t="s">
        <v>0</v>
      </c>
      <c r="H99" s="31" t="s">
        <v>0</v>
      </c>
      <c r="I99" s="31" t="s">
        <v>0</v>
      </c>
      <c r="J99" s="31" t="s">
        <v>0</v>
      </c>
      <c r="K99" s="31" t="s">
        <v>0</v>
      </c>
      <c r="L99" s="31" t="s">
        <v>0</v>
      </c>
      <c r="M99" s="32">
        <f t="shared" si="39"/>
        <v>13495639.98</v>
      </c>
      <c r="N99" s="32">
        <f t="shared" si="39"/>
        <v>13495639.98</v>
      </c>
      <c r="O99" s="32">
        <f t="shared" si="39"/>
        <v>13495639.98</v>
      </c>
      <c r="P99" s="33">
        <f t="shared" si="25"/>
        <v>1</v>
      </c>
    </row>
    <row r="100" spans="1:16" s="34" customFormat="1" ht="32.25" customHeight="1" x14ac:dyDescent="0.25">
      <c r="A100" s="29" t="s">
        <v>29</v>
      </c>
      <c r="B100" s="30" t="s">
        <v>132</v>
      </c>
      <c r="C100" s="30" t="s">
        <v>13</v>
      </c>
      <c r="D100" s="30" t="s">
        <v>265</v>
      </c>
      <c r="E100" s="30" t="s">
        <v>30</v>
      </c>
      <c r="F100" s="30" t="s">
        <v>0</v>
      </c>
      <c r="G100" s="30" t="s">
        <v>0</v>
      </c>
      <c r="H100" s="31" t="s">
        <v>0</v>
      </c>
      <c r="I100" s="31" t="s">
        <v>0</v>
      </c>
      <c r="J100" s="31" t="s">
        <v>0</v>
      </c>
      <c r="K100" s="31" t="s">
        <v>0</v>
      </c>
      <c r="L100" s="31" t="s">
        <v>0</v>
      </c>
      <c r="M100" s="32">
        <f t="shared" si="39"/>
        <v>13495639.98</v>
      </c>
      <c r="N100" s="32">
        <f t="shared" si="39"/>
        <v>13495639.98</v>
      </c>
      <c r="O100" s="32">
        <f t="shared" si="39"/>
        <v>13495639.98</v>
      </c>
      <c r="P100" s="33">
        <f t="shared" si="25"/>
        <v>1</v>
      </c>
    </row>
    <row r="101" spans="1:16" s="34" customFormat="1" ht="15" customHeight="1" x14ac:dyDescent="0.25">
      <c r="A101" s="35" t="s">
        <v>63</v>
      </c>
      <c r="B101" s="30" t="s">
        <v>132</v>
      </c>
      <c r="C101" s="30" t="s">
        <v>13</v>
      </c>
      <c r="D101" s="30" t="s">
        <v>265</v>
      </c>
      <c r="E101" s="30" t="s">
        <v>30</v>
      </c>
      <c r="F101" s="30" t="s">
        <v>64</v>
      </c>
      <c r="G101" s="30" t="s">
        <v>0</v>
      </c>
      <c r="H101" s="30" t="s">
        <v>0</v>
      </c>
      <c r="I101" s="30" t="s">
        <v>0</v>
      </c>
      <c r="J101" s="30" t="s">
        <v>0</v>
      </c>
      <c r="K101" s="30" t="s">
        <v>0</v>
      </c>
      <c r="L101" s="30" t="s">
        <v>0</v>
      </c>
      <c r="M101" s="32">
        <f t="shared" si="39"/>
        <v>13495639.98</v>
      </c>
      <c r="N101" s="32">
        <f t="shared" si="39"/>
        <v>13495639.98</v>
      </c>
      <c r="O101" s="32">
        <f t="shared" si="39"/>
        <v>13495639.98</v>
      </c>
      <c r="P101" s="33">
        <f t="shared" si="25"/>
        <v>1</v>
      </c>
    </row>
    <row r="102" spans="1:16" s="34" customFormat="1" ht="15" customHeight="1" x14ac:dyDescent="0.25">
      <c r="A102" s="35" t="s">
        <v>65</v>
      </c>
      <c r="B102" s="30" t="s">
        <v>132</v>
      </c>
      <c r="C102" s="30" t="s">
        <v>13</v>
      </c>
      <c r="D102" s="30" t="s">
        <v>265</v>
      </c>
      <c r="E102" s="30" t="s">
        <v>30</v>
      </c>
      <c r="F102" s="30" t="s">
        <v>64</v>
      </c>
      <c r="G102" s="30" t="s">
        <v>27</v>
      </c>
      <c r="H102" s="30" t="s">
        <v>0</v>
      </c>
      <c r="I102" s="30" t="s">
        <v>0</v>
      </c>
      <c r="J102" s="30" t="s">
        <v>0</v>
      </c>
      <c r="K102" s="30" t="s">
        <v>0</v>
      </c>
      <c r="L102" s="30" t="s">
        <v>0</v>
      </c>
      <c r="M102" s="32">
        <f t="shared" si="39"/>
        <v>13495639.98</v>
      </c>
      <c r="N102" s="32">
        <f t="shared" si="39"/>
        <v>13495639.98</v>
      </c>
      <c r="O102" s="32">
        <f t="shared" si="39"/>
        <v>13495639.98</v>
      </c>
      <c r="P102" s="33">
        <f t="shared" si="25"/>
        <v>1</v>
      </c>
    </row>
    <row r="103" spans="1:16" s="34" customFormat="1" ht="48.9" customHeight="1" x14ac:dyDescent="0.25">
      <c r="A103" s="29" t="s">
        <v>234</v>
      </c>
      <c r="B103" s="30" t="s">
        <v>132</v>
      </c>
      <c r="C103" s="30" t="s">
        <v>13</v>
      </c>
      <c r="D103" s="30" t="s">
        <v>265</v>
      </c>
      <c r="E103" s="30" t="s">
        <v>30</v>
      </c>
      <c r="F103" s="30" t="s">
        <v>64</v>
      </c>
      <c r="G103" s="30" t="s">
        <v>27</v>
      </c>
      <c r="H103" s="30" t="s">
        <v>235</v>
      </c>
      <c r="I103" s="31" t="s">
        <v>0</v>
      </c>
      <c r="J103" s="31" t="s">
        <v>0</v>
      </c>
      <c r="K103" s="31" t="s">
        <v>0</v>
      </c>
      <c r="L103" s="31" t="s">
        <v>0</v>
      </c>
      <c r="M103" s="32">
        <f t="shared" si="39"/>
        <v>13495639.98</v>
      </c>
      <c r="N103" s="32">
        <f t="shared" si="39"/>
        <v>13495639.98</v>
      </c>
      <c r="O103" s="32">
        <f t="shared" si="39"/>
        <v>13495639.98</v>
      </c>
      <c r="P103" s="33">
        <f t="shared" si="25"/>
        <v>1</v>
      </c>
    </row>
    <row r="104" spans="1:16" s="34" customFormat="1" ht="64.5" customHeight="1" x14ac:dyDescent="0.25">
      <c r="A104" s="29" t="s">
        <v>200</v>
      </c>
      <c r="B104" s="30" t="s">
        <v>132</v>
      </c>
      <c r="C104" s="30" t="s">
        <v>13</v>
      </c>
      <c r="D104" s="30" t="s">
        <v>265</v>
      </c>
      <c r="E104" s="30" t="s">
        <v>30</v>
      </c>
      <c r="F104" s="30" t="s">
        <v>64</v>
      </c>
      <c r="G104" s="30" t="s">
        <v>27</v>
      </c>
      <c r="H104" s="30" t="s">
        <v>235</v>
      </c>
      <c r="I104" s="30" t="s">
        <v>201</v>
      </c>
      <c r="J104" s="30" t="s">
        <v>0</v>
      </c>
      <c r="K104" s="30" t="s">
        <v>0</v>
      </c>
      <c r="L104" s="30" t="s">
        <v>0</v>
      </c>
      <c r="M104" s="32">
        <f t="shared" si="39"/>
        <v>13495639.98</v>
      </c>
      <c r="N104" s="32">
        <f t="shared" si="39"/>
        <v>13495639.98</v>
      </c>
      <c r="O104" s="32">
        <f t="shared" si="39"/>
        <v>13495639.98</v>
      </c>
      <c r="P104" s="33">
        <f t="shared" si="25"/>
        <v>1</v>
      </c>
    </row>
    <row r="105" spans="1:16" s="34" customFormat="1" ht="30" customHeight="1" x14ac:dyDescent="0.25">
      <c r="A105" s="29" t="s">
        <v>237</v>
      </c>
      <c r="B105" s="36" t="s">
        <v>0</v>
      </c>
      <c r="C105" s="36" t="s">
        <v>0</v>
      </c>
      <c r="D105" s="36" t="s">
        <v>0</v>
      </c>
      <c r="E105" s="36" t="s">
        <v>0</v>
      </c>
      <c r="F105" s="36" t="s">
        <v>0</v>
      </c>
      <c r="G105" s="36" t="s">
        <v>0</v>
      </c>
      <c r="H105" s="36" t="s">
        <v>0</v>
      </c>
      <c r="I105" s="36" t="s">
        <v>0</v>
      </c>
      <c r="J105" s="36" t="s">
        <v>0</v>
      </c>
      <c r="K105" s="36" t="s">
        <v>0</v>
      </c>
      <c r="L105" s="36" t="s">
        <v>0</v>
      </c>
      <c r="M105" s="32">
        <f t="shared" si="39"/>
        <v>13495639.98</v>
      </c>
      <c r="N105" s="32">
        <f t="shared" si="39"/>
        <v>13495639.98</v>
      </c>
      <c r="O105" s="32">
        <f t="shared" si="39"/>
        <v>13495639.98</v>
      </c>
      <c r="P105" s="33">
        <f t="shared" si="25"/>
        <v>1</v>
      </c>
    </row>
    <row r="106" spans="1:16" ht="48.9" customHeight="1" x14ac:dyDescent="0.25">
      <c r="A106" s="18" t="s">
        <v>266</v>
      </c>
      <c r="B106" s="19" t="s">
        <v>132</v>
      </c>
      <c r="C106" s="19" t="s">
        <v>13</v>
      </c>
      <c r="D106" s="19" t="s">
        <v>265</v>
      </c>
      <c r="E106" s="19" t="s">
        <v>30</v>
      </c>
      <c r="F106" s="19" t="s">
        <v>64</v>
      </c>
      <c r="G106" s="19" t="s">
        <v>27</v>
      </c>
      <c r="H106" s="19" t="s">
        <v>235</v>
      </c>
      <c r="I106" s="19" t="s">
        <v>201</v>
      </c>
      <c r="J106" s="21" t="s">
        <v>51</v>
      </c>
      <c r="K106" s="21" t="s">
        <v>267</v>
      </c>
      <c r="L106" s="21" t="s">
        <v>53</v>
      </c>
      <c r="M106" s="17">
        <f>14109400+650455.5-1264215.52</f>
        <v>13495639.98</v>
      </c>
      <c r="N106" s="17">
        <v>13495639.98</v>
      </c>
      <c r="O106" s="17">
        <v>13495639.98</v>
      </c>
      <c r="P106" s="28">
        <f t="shared" si="25"/>
        <v>1</v>
      </c>
    </row>
    <row r="107" spans="1:16" s="34" customFormat="1" ht="46.8" x14ac:dyDescent="0.25">
      <c r="A107" s="29" t="s">
        <v>133</v>
      </c>
      <c r="B107" s="30" t="s">
        <v>132</v>
      </c>
      <c r="C107" s="30" t="s">
        <v>14</v>
      </c>
      <c r="D107" s="30" t="s">
        <v>0</v>
      </c>
      <c r="E107" s="30" t="s">
        <v>0</v>
      </c>
      <c r="F107" s="30" t="s">
        <v>0</v>
      </c>
      <c r="G107" s="30" t="s">
        <v>0</v>
      </c>
      <c r="H107" s="31" t="s">
        <v>0</v>
      </c>
      <c r="I107" s="31" t="s">
        <v>0</v>
      </c>
      <c r="J107" s="31" t="s">
        <v>0</v>
      </c>
      <c r="K107" s="31" t="s">
        <v>0</v>
      </c>
      <c r="L107" s="31" t="s">
        <v>0</v>
      </c>
      <c r="M107" s="32">
        <f>M108+M123+M148+M156</f>
        <v>87676589.830000013</v>
      </c>
      <c r="N107" s="32">
        <f t="shared" ref="N107:O107" si="40">N108+N123+N148+N156</f>
        <v>79551420.710000008</v>
      </c>
      <c r="O107" s="32">
        <f t="shared" si="40"/>
        <v>79551420.710000008</v>
      </c>
      <c r="P107" s="33">
        <f t="shared" si="25"/>
        <v>0.90732795224182128</v>
      </c>
    </row>
    <row r="108" spans="1:16" s="34" customFormat="1" ht="48.9" customHeight="1" x14ac:dyDescent="0.25">
      <c r="A108" s="29" t="s">
        <v>268</v>
      </c>
      <c r="B108" s="30" t="s">
        <v>132</v>
      </c>
      <c r="C108" s="30" t="s">
        <v>14</v>
      </c>
      <c r="D108" s="30" t="s">
        <v>70</v>
      </c>
      <c r="E108" s="30" t="s">
        <v>0</v>
      </c>
      <c r="F108" s="30" t="s">
        <v>0</v>
      </c>
      <c r="G108" s="30" t="s">
        <v>0</v>
      </c>
      <c r="H108" s="31" t="s">
        <v>0</v>
      </c>
      <c r="I108" s="31" t="s">
        <v>0</v>
      </c>
      <c r="J108" s="31" t="s">
        <v>0</v>
      </c>
      <c r="K108" s="31" t="s">
        <v>0</v>
      </c>
      <c r="L108" s="31" t="s">
        <v>0</v>
      </c>
      <c r="M108" s="32">
        <f t="shared" ref="M108:O112" si="41">M109</f>
        <v>10917615.210000001</v>
      </c>
      <c r="N108" s="32">
        <f t="shared" si="41"/>
        <v>10917615.210000001</v>
      </c>
      <c r="O108" s="32">
        <f t="shared" si="41"/>
        <v>10917615.210000001</v>
      </c>
      <c r="P108" s="33">
        <f t="shared" si="25"/>
        <v>1</v>
      </c>
    </row>
    <row r="109" spans="1:16" s="34" customFormat="1" ht="32.25" customHeight="1" x14ac:dyDescent="0.25">
      <c r="A109" s="29" t="s">
        <v>29</v>
      </c>
      <c r="B109" s="30" t="s">
        <v>132</v>
      </c>
      <c r="C109" s="30" t="s">
        <v>14</v>
      </c>
      <c r="D109" s="30" t="s">
        <v>70</v>
      </c>
      <c r="E109" s="30" t="s">
        <v>30</v>
      </c>
      <c r="F109" s="30" t="s">
        <v>0</v>
      </c>
      <c r="G109" s="30" t="s">
        <v>0</v>
      </c>
      <c r="H109" s="31" t="s">
        <v>0</v>
      </c>
      <c r="I109" s="31" t="s">
        <v>0</v>
      </c>
      <c r="J109" s="31" t="s">
        <v>0</v>
      </c>
      <c r="K109" s="31" t="s">
        <v>0</v>
      </c>
      <c r="L109" s="31" t="s">
        <v>0</v>
      </c>
      <c r="M109" s="32">
        <f t="shared" si="41"/>
        <v>10917615.210000001</v>
      </c>
      <c r="N109" s="32">
        <f t="shared" si="41"/>
        <v>10917615.210000001</v>
      </c>
      <c r="O109" s="32">
        <f t="shared" si="41"/>
        <v>10917615.210000001</v>
      </c>
      <c r="P109" s="33">
        <f t="shared" si="25"/>
        <v>1</v>
      </c>
    </row>
    <row r="110" spans="1:16" s="34" customFormat="1" ht="15" customHeight="1" x14ac:dyDescent="0.25">
      <c r="A110" s="35" t="s">
        <v>63</v>
      </c>
      <c r="B110" s="30" t="s">
        <v>132</v>
      </c>
      <c r="C110" s="30" t="s">
        <v>14</v>
      </c>
      <c r="D110" s="30" t="s">
        <v>70</v>
      </c>
      <c r="E110" s="30" t="s">
        <v>30</v>
      </c>
      <c r="F110" s="30" t="s">
        <v>64</v>
      </c>
      <c r="G110" s="30" t="s">
        <v>0</v>
      </c>
      <c r="H110" s="30" t="s">
        <v>0</v>
      </c>
      <c r="I110" s="30" t="s">
        <v>0</v>
      </c>
      <c r="J110" s="30" t="s">
        <v>0</v>
      </c>
      <c r="K110" s="30" t="s">
        <v>0</v>
      </c>
      <c r="L110" s="30" t="s">
        <v>0</v>
      </c>
      <c r="M110" s="32">
        <f t="shared" si="41"/>
        <v>10917615.210000001</v>
      </c>
      <c r="N110" s="32">
        <f t="shared" si="41"/>
        <v>10917615.210000001</v>
      </c>
      <c r="O110" s="32">
        <f t="shared" si="41"/>
        <v>10917615.210000001</v>
      </c>
      <c r="P110" s="33">
        <f t="shared" si="25"/>
        <v>1</v>
      </c>
    </row>
    <row r="111" spans="1:16" s="34" customFormat="1" ht="15" customHeight="1" x14ac:dyDescent="0.25">
      <c r="A111" s="35" t="s">
        <v>65</v>
      </c>
      <c r="B111" s="30" t="s">
        <v>132</v>
      </c>
      <c r="C111" s="30" t="s">
        <v>14</v>
      </c>
      <c r="D111" s="30" t="s">
        <v>70</v>
      </c>
      <c r="E111" s="30" t="s">
        <v>30</v>
      </c>
      <c r="F111" s="30" t="s">
        <v>64</v>
      </c>
      <c r="G111" s="30" t="s">
        <v>27</v>
      </c>
      <c r="H111" s="30" t="s">
        <v>0</v>
      </c>
      <c r="I111" s="30" t="s">
        <v>0</v>
      </c>
      <c r="J111" s="30" t="s">
        <v>0</v>
      </c>
      <c r="K111" s="30" t="s">
        <v>0</v>
      </c>
      <c r="L111" s="30" t="s">
        <v>0</v>
      </c>
      <c r="M111" s="32">
        <f t="shared" si="41"/>
        <v>10917615.210000001</v>
      </c>
      <c r="N111" s="32">
        <f t="shared" si="41"/>
        <v>10917615.210000001</v>
      </c>
      <c r="O111" s="32">
        <f t="shared" si="41"/>
        <v>10917615.210000001</v>
      </c>
      <c r="P111" s="33">
        <f t="shared" si="25"/>
        <v>1</v>
      </c>
    </row>
    <row r="112" spans="1:16" s="34" customFormat="1" ht="48.9" customHeight="1" x14ac:dyDescent="0.25">
      <c r="A112" s="29" t="s">
        <v>234</v>
      </c>
      <c r="B112" s="30" t="s">
        <v>132</v>
      </c>
      <c r="C112" s="30" t="s">
        <v>14</v>
      </c>
      <c r="D112" s="30" t="s">
        <v>70</v>
      </c>
      <c r="E112" s="30" t="s">
        <v>30</v>
      </c>
      <c r="F112" s="30" t="s">
        <v>64</v>
      </c>
      <c r="G112" s="30" t="s">
        <v>27</v>
      </c>
      <c r="H112" s="30" t="s">
        <v>235</v>
      </c>
      <c r="I112" s="31" t="s">
        <v>0</v>
      </c>
      <c r="J112" s="31" t="s">
        <v>0</v>
      </c>
      <c r="K112" s="31" t="s">
        <v>0</v>
      </c>
      <c r="L112" s="31" t="s">
        <v>0</v>
      </c>
      <c r="M112" s="32">
        <f t="shared" si="41"/>
        <v>10917615.210000001</v>
      </c>
      <c r="N112" s="32">
        <f t="shared" si="41"/>
        <v>10917615.210000001</v>
      </c>
      <c r="O112" s="32">
        <f t="shared" si="41"/>
        <v>10917615.210000001</v>
      </c>
      <c r="P112" s="33">
        <f t="shared" si="25"/>
        <v>1</v>
      </c>
    </row>
    <row r="113" spans="1:16" s="34" customFormat="1" ht="64.5" customHeight="1" x14ac:dyDescent="0.25">
      <c r="A113" s="29" t="s">
        <v>200</v>
      </c>
      <c r="B113" s="30" t="s">
        <v>132</v>
      </c>
      <c r="C113" s="30" t="s">
        <v>14</v>
      </c>
      <c r="D113" s="30" t="s">
        <v>70</v>
      </c>
      <c r="E113" s="30" t="s">
        <v>30</v>
      </c>
      <c r="F113" s="30" t="s">
        <v>64</v>
      </c>
      <c r="G113" s="30" t="s">
        <v>27</v>
      </c>
      <c r="H113" s="30" t="s">
        <v>235</v>
      </c>
      <c r="I113" s="30" t="s">
        <v>201</v>
      </c>
      <c r="J113" s="30" t="s">
        <v>0</v>
      </c>
      <c r="K113" s="30" t="s">
        <v>0</v>
      </c>
      <c r="L113" s="30" t="s">
        <v>0</v>
      </c>
      <c r="M113" s="32">
        <f>M114+M117+M119+M121</f>
        <v>10917615.210000001</v>
      </c>
      <c r="N113" s="32">
        <f t="shared" ref="N113:O113" si="42">N114+N117+N119+N121</f>
        <v>10917615.210000001</v>
      </c>
      <c r="O113" s="32">
        <f t="shared" si="42"/>
        <v>10917615.210000001</v>
      </c>
      <c r="P113" s="33">
        <f t="shared" si="25"/>
        <v>1</v>
      </c>
    </row>
    <row r="114" spans="1:16" s="34" customFormat="1" ht="30" customHeight="1" x14ac:dyDescent="0.25">
      <c r="A114" s="29" t="s">
        <v>269</v>
      </c>
      <c r="B114" s="36" t="s">
        <v>0</v>
      </c>
      <c r="C114" s="36" t="s">
        <v>0</v>
      </c>
      <c r="D114" s="36" t="s">
        <v>0</v>
      </c>
      <c r="E114" s="36" t="s">
        <v>0</v>
      </c>
      <c r="F114" s="36" t="s">
        <v>0</v>
      </c>
      <c r="G114" s="36" t="s">
        <v>0</v>
      </c>
      <c r="H114" s="36" t="s">
        <v>0</v>
      </c>
      <c r="I114" s="36" t="s">
        <v>0</v>
      </c>
      <c r="J114" s="36" t="s">
        <v>0</v>
      </c>
      <c r="K114" s="36" t="s">
        <v>0</v>
      </c>
      <c r="L114" s="36" t="s">
        <v>0</v>
      </c>
      <c r="M114" s="32">
        <f>M115+M116</f>
        <v>6201661.75</v>
      </c>
      <c r="N114" s="32">
        <f t="shared" ref="N114:O114" si="43">N115+N116</f>
        <v>6201661.75</v>
      </c>
      <c r="O114" s="32">
        <f t="shared" si="43"/>
        <v>6201661.75</v>
      </c>
      <c r="P114" s="33">
        <f t="shared" si="25"/>
        <v>1</v>
      </c>
    </row>
    <row r="115" spans="1:16" ht="48.9" customHeight="1" x14ac:dyDescent="0.25">
      <c r="A115" s="18" t="s">
        <v>270</v>
      </c>
      <c r="B115" s="19" t="s">
        <v>132</v>
      </c>
      <c r="C115" s="19" t="s">
        <v>14</v>
      </c>
      <c r="D115" s="19" t="s">
        <v>70</v>
      </c>
      <c r="E115" s="19" t="s">
        <v>30</v>
      </c>
      <c r="F115" s="19" t="s">
        <v>64</v>
      </c>
      <c r="G115" s="19" t="s">
        <v>27</v>
      </c>
      <c r="H115" s="19" t="s">
        <v>235</v>
      </c>
      <c r="I115" s="19" t="s">
        <v>201</v>
      </c>
      <c r="J115" s="21" t="s">
        <v>51</v>
      </c>
      <c r="K115" s="21">
        <v>4.2149999999999999</v>
      </c>
      <c r="L115" s="21" t="s">
        <v>53</v>
      </c>
      <c r="M115" s="17">
        <f>13765405-6168502-2740938.46</f>
        <v>4855964.54</v>
      </c>
      <c r="N115" s="17">
        <v>4855964.54</v>
      </c>
      <c r="O115" s="17">
        <v>4855964.54</v>
      </c>
      <c r="P115" s="28">
        <f t="shared" si="25"/>
        <v>1</v>
      </c>
    </row>
    <row r="116" spans="1:16" ht="31.2" x14ac:dyDescent="0.25">
      <c r="A116" s="18" t="s">
        <v>337</v>
      </c>
      <c r="B116" s="19" t="s">
        <v>132</v>
      </c>
      <c r="C116" s="19" t="s">
        <v>14</v>
      </c>
      <c r="D116" s="19" t="s">
        <v>70</v>
      </c>
      <c r="E116" s="19" t="s">
        <v>30</v>
      </c>
      <c r="F116" s="19" t="s">
        <v>64</v>
      </c>
      <c r="G116" s="19" t="s">
        <v>27</v>
      </c>
      <c r="H116" s="19" t="s">
        <v>235</v>
      </c>
      <c r="I116" s="19" t="s">
        <v>201</v>
      </c>
      <c r="J116" s="21" t="s">
        <v>51</v>
      </c>
      <c r="K116" s="21" t="s">
        <v>271</v>
      </c>
      <c r="L116" s="21" t="s">
        <v>53</v>
      </c>
      <c r="M116" s="17">
        <f>2359600-1013902.79</f>
        <v>1345697.21</v>
      </c>
      <c r="N116" s="17">
        <v>1345697.21</v>
      </c>
      <c r="O116" s="17">
        <v>1345697.21</v>
      </c>
      <c r="P116" s="28">
        <f t="shared" si="25"/>
        <v>1</v>
      </c>
    </row>
    <row r="117" spans="1:16" s="34" customFormat="1" ht="32.25" customHeight="1" x14ac:dyDescent="0.25">
      <c r="A117" s="29" t="s">
        <v>272</v>
      </c>
      <c r="B117" s="36" t="s">
        <v>0</v>
      </c>
      <c r="C117" s="36" t="s">
        <v>0</v>
      </c>
      <c r="D117" s="36" t="s">
        <v>0</v>
      </c>
      <c r="E117" s="36" t="s">
        <v>0</v>
      </c>
      <c r="F117" s="36" t="s">
        <v>0</v>
      </c>
      <c r="G117" s="36" t="s">
        <v>0</v>
      </c>
      <c r="H117" s="36" t="s">
        <v>0</v>
      </c>
      <c r="I117" s="36" t="s">
        <v>0</v>
      </c>
      <c r="J117" s="36" t="s">
        <v>0</v>
      </c>
      <c r="K117" s="36" t="s">
        <v>0</v>
      </c>
      <c r="L117" s="36" t="s">
        <v>0</v>
      </c>
      <c r="M117" s="32">
        <f>M118</f>
        <v>1130389.72</v>
      </c>
      <c r="N117" s="32">
        <f t="shared" ref="N117:O117" si="44">N118</f>
        <v>1130389.72</v>
      </c>
      <c r="O117" s="32">
        <f t="shared" si="44"/>
        <v>1130389.72</v>
      </c>
      <c r="P117" s="33">
        <f t="shared" si="25"/>
        <v>1</v>
      </c>
    </row>
    <row r="118" spans="1:16" ht="46.8" x14ac:dyDescent="0.25">
      <c r="A118" s="18" t="s">
        <v>356</v>
      </c>
      <c r="B118" s="19" t="s">
        <v>132</v>
      </c>
      <c r="C118" s="19" t="s">
        <v>14</v>
      </c>
      <c r="D118" s="19" t="s">
        <v>70</v>
      </c>
      <c r="E118" s="19" t="s">
        <v>30</v>
      </c>
      <c r="F118" s="19" t="s">
        <v>64</v>
      </c>
      <c r="G118" s="19" t="s">
        <v>27</v>
      </c>
      <c r="H118" s="19" t="s">
        <v>235</v>
      </c>
      <c r="I118" s="19" t="s">
        <v>201</v>
      </c>
      <c r="J118" s="21" t="s">
        <v>51</v>
      </c>
      <c r="K118" s="21">
        <v>1.847</v>
      </c>
      <c r="L118" s="21" t="s">
        <v>53</v>
      </c>
      <c r="M118" s="17">
        <f>1493001-362611.28</f>
        <v>1130389.72</v>
      </c>
      <c r="N118" s="17">
        <v>1130389.72</v>
      </c>
      <c r="O118" s="17">
        <v>1130389.72</v>
      </c>
      <c r="P118" s="28">
        <f t="shared" si="25"/>
        <v>1</v>
      </c>
    </row>
    <row r="119" spans="1:16" s="34" customFormat="1" ht="32.25" customHeight="1" x14ac:dyDescent="0.25">
      <c r="A119" s="29" t="s">
        <v>205</v>
      </c>
      <c r="B119" s="36" t="s">
        <v>0</v>
      </c>
      <c r="C119" s="36" t="s">
        <v>0</v>
      </c>
      <c r="D119" s="36" t="s">
        <v>0</v>
      </c>
      <c r="E119" s="36" t="s">
        <v>0</v>
      </c>
      <c r="F119" s="36" t="s">
        <v>0</v>
      </c>
      <c r="G119" s="36" t="s">
        <v>0</v>
      </c>
      <c r="H119" s="36" t="s">
        <v>0</v>
      </c>
      <c r="I119" s="36" t="s">
        <v>0</v>
      </c>
      <c r="J119" s="36" t="s">
        <v>0</v>
      </c>
      <c r="K119" s="36" t="s">
        <v>0</v>
      </c>
      <c r="L119" s="36" t="s">
        <v>0</v>
      </c>
      <c r="M119" s="32">
        <f>M120</f>
        <v>530947.02</v>
      </c>
      <c r="N119" s="32">
        <f t="shared" ref="N119:O119" si="45">N120</f>
        <v>530947.02</v>
      </c>
      <c r="O119" s="32">
        <f t="shared" si="45"/>
        <v>530947.02</v>
      </c>
      <c r="P119" s="33">
        <f t="shared" si="25"/>
        <v>1</v>
      </c>
    </row>
    <row r="120" spans="1:16" ht="48.9" customHeight="1" x14ac:dyDescent="0.25">
      <c r="A120" s="18" t="s">
        <v>273</v>
      </c>
      <c r="B120" s="19" t="s">
        <v>132</v>
      </c>
      <c r="C120" s="19" t="s">
        <v>14</v>
      </c>
      <c r="D120" s="19" t="s">
        <v>70</v>
      </c>
      <c r="E120" s="19" t="s">
        <v>30</v>
      </c>
      <c r="F120" s="19" t="s">
        <v>64</v>
      </c>
      <c r="G120" s="19" t="s">
        <v>27</v>
      </c>
      <c r="H120" s="19" t="s">
        <v>235</v>
      </c>
      <c r="I120" s="19" t="s">
        <v>201</v>
      </c>
      <c r="J120" s="21" t="s">
        <v>51</v>
      </c>
      <c r="K120" s="21">
        <v>0.48299999999999998</v>
      </c>
      <c r="L120" s="21" t="s">
        <v>53</v>
      </c>
      <c r="M120" s="17">
        <v>530947.02</v>
      </c>
      <c r="N120" s="17">
        <v>530947.02</v>
      </c>
      <c r="O120" s="17">
        <v>530947.02</v>
      </c>
      <c r="P120" s="28">
        <f t="shared" si="25"/>
        <v>1</v>
      </c>
    </row>
    <row r="121" spans="1:16" s="34" customFormat="1" ht="30" customHeight="1" x14ac:dyDescent="0.25">
      <c r="A121" s="29" t="s">
        <v>274</v>
      </c>
      <c r="B121" s="36" t="s">
        <v>0</v>
      </c>
      <c r="C121" s="36" t="s">
        <v>0</v>
      </c>
      <c r="D121" s="36" t="s">
        <v>0</v>
      </c>
      <c r="E121" s="36" t="s">
        <v>0</v>
      </c>
      <c r="F121" s="36" t="s">
        <v>0</v>
      </c>
      <c r="G121" s="36" t="s">
        <v>0</v>
      </c>
      <c r="H121" s="36" t="s">
        <v>0</v>
      </c>
      <c r="I121" s="36" t="s">
        <v>0</v>
      </c>
      <c r="J121" s="36" t="s">
        <v>0</v>
      </c>
      <c r="K121" s="36" t="s">
        <v>0</v>
      </c>
      <c r="L121" s="36" t="s">
        <v>0</v>
      </c>
      <c r="M121" s="32">
        <f>M122</f>
        <v>3054616.7199999997</v>
      </c>
      <c r="N121" s="32">
        <f t="shared" ref="N121:O121" si="46">N122</f>
        <v>3054616.72</v>
      </c>
      <c r="O121" s="32">
        <f t="shared" si="46"/>
        <v>3054616.72</v>
      </c>
      <c r="P121" s="33">
        <f t="shared" si="25"/>
        <v>1.0000000000000002</v>
      </c>
    </row>
    <row r="122" spans="1:16" ht="32.25" customHeight="1" x14ac:dyDescent="0.25">
      <c r="A122" s="18" t="s">
        <v>275</v>
      </c>
      <c r="B122" s="19" t="s">
        <v>132</v>
      </c>
      <c r="C122" s="19" t="s">
        <v>14</v>
      </c>
      <c r="D122" s="19" t="s">
        <v>70</v>
      </c>
      <c r="E122" s="19" t="s">
        <v>30</v>
      </c>
      <c r="F122" s="19" t="s">
        <v>64</v>
      </c>
      <c r="G122" s="19" t="s">
        <v>27</v>
      </c>
      <c r="H122" s="19" t="s">
        <v>235</v>
      </c>
      <c r="I122" s="19" t="s">
        <v>201</v>
      </c>
      <c r="J122" s="21" t="s">
        <v>51</v>
      </c>
      <c r="K122" s="22">
        <v>4.3499999999999996</v>
      </c>
      <c r="L122" s="21" t="s">
        <v>53</v>
      </c>
      <c r="M122" s="17">
        <f>4560943-1506326.28</f>
        <v>3054616.7199999997</v>
      </c>
      <c r="N122" s="17">
        <v>3054616.72</v>
      </c>
      <c r="O122" s="17">
        <v>3054616.72</v>
      </c>
      <c r="P122" s="28">
        <f t="shared" si="25"/>
        <v>1.0000000000000002</v>
      </c>
    </row>
    <row r="123" spans="1:16" s="34" customFormat="1" ht="48.9" customHeight="1" x14ac:dyDescent="0.25">
      <c r="A123" s="29" t="s">
        <v>264</v>
      </c>
      <c r="B123" s="30" t="s">
        <v>132</v>
      </c>
      <c r="C123" s="30" t="s">
        <v>14</v>
      </c>
      <c r="D123" s="30" t="s">
        <v>265</v>
      </c>
      <c r="E123" s="30" t="s">
        <v>0</v>
      </c>
      <c r="F123" s="30" t="s">
        <v>0</v>
      </c>
      <c r="G123" s="30" t="s">
        <v>0</v>
      </c>
      <c r="H123" s="31" t="s">
        <v>0</v>
      </c>
      <c r="I123" s="31" t="s">
        <v>0</v>
      </c>
      <c r="J123" s="31" t="s">
        <v>0</v>
      </c>
      <c r="K123" s="31" t="s">
        <v>0</v>
      </c>
      <c r="L123" s="31" t="s">
        <v>0</v>
      </c>
      <c r="M123" s="32">
        <f>M124</f>
        <v>24828868.810000002</v>
      </c>
      <c r="N123" s="32">
        <f t="shared" ref="N123:O127" si="47">N124</f>
        <v>18153091.690000001</v>
      </c>
      <c r="O123" s="32">
        <f t="shared" si="47"/>
        <v>18153091.690000001</v>
      </c>
      <c r="P123" s="33">
        <f t="shared" si="25"/>
        <v>0.73112842268064648</v>
      </c>
    </row>
    <row r="124" spans="1:16" s="34" customFormat="1" ht="32.25" customHeight="1" x14ac:dyDescent="0.25">
      <c r="A124" s="29" t="s">
        <v>29</v>
      </c>
      <c r="B124" s="30" t="s">
        <v>132</v>
      </c>
      <c r="C124" s="30" t="s">
        <v>14</v>
      </c>
      <c r="D124" s="30" t="s">
        <v>265</v>
      </c>
      <c r="E124" s="30" t="s">
        <v>30</v>
      </c>
      <c r="F124" s="30" t="s">
        <v>0</v>
      </c>
      <c r="G124" s="30" t="s">
        <v>0</v>
      </c>
      <c r="H124" s="31" t="s">
        <v>0</v>
      </c>
      <c r="I124" s="31" t="s">
        <v>0</v>
      </c>
      <c r="J124" s="31" t="s">
        <v>0</v>
      </c>
      <c r="K124" s="31" t="s">
        <v>0</v>
      </c>
      <c r="L124" s="31" t="s">
        <v>0</v>
      </c>
      <c r="M124" s="32">
        <f>M125</f>
        <v>24828868.810000002</v>
      </c>
      <c r="N124" s="32">
        <f t="shared" si="47"/>
        <v>18153091.690000001</v>
      </c>
      <c r="O124" s="32">
        <f t="shared" si="47"/>
        <v>18153091.690000001</v>
      </c>
      <c r="P124" s="33">
        <f t="shared" si="25"/>
        <v>0.73112842268064648</v>
      </c>
    </row>
    <row r="125" spans="1:16" s="34" customFormat="1" ht="15" customHeight="1" x14ac:dyDescent="0.25">
      <c r="A125" s="35" t="s">
        <v>63</v>
      </c>
      <c r="B125" s="30" t="s">
        <v>132</v>
      </c>
      <c r="C125" s="30" t="s">
        <v>14</v>
      </c>
      <c r="D125" s="30" t="s">
        <v>265</v>
      </c>
      <c r="E125" s="30" t="s">
        <v>30</v>
      </c>
      <c r="F125" s="30" t="s">
        <v>64</v>
      </c>
      <c r="G125" s="30" t="s">
        <v>0</v>
      </c>
      <c r="H125" s="30" t="s">
        <v>0</v>
      </c>
      <c r="I125" s="30" t="s">
        <v>0</v>
      </c>
      <c r="J125" s="30" t="s">
        <v>0</v>
      </c>
      <c r="K125" s="30" t="s">
        <v>0</v>
      </c>
      <c r="L125" s="30" t="s">
        <v>0</v>
      </c>
      <c r="M125" s="32">
        <f>M126</f>
        <v>24828868.810000002</v>
      </c>
      <c r="N125" s="32">
        <f t="shared" si="47"/>
        <v>18153091.690000001</v>
      </c>
      <c r="O125" s="32">
        <f t="shared" si="47"/>
        <v>18153091.690000001</v>
      </c>
      <c r="P125" s="33">
        <f t="shared" si="25"/>
        <v>0.73112842268064648</v>
      </c>
    </row>
    <row r="126" spans="1:16" s="34" customFormat="1" ht="15" customHeight="1" x14ac:dyDescent="0.25">
      <c r="A126" s="35" t="s">
        <v>65</v>
      </c>
      <c r="B126" s="30" t="s">
        <v>132</v>
      </c>
      <c r="C126" s="30" t="s">
        <v>14</v>
      </c>
      <c r="D126" s="30" t="s">
        <v>265</v>
      </c>
      <c r="E126" s="30" t="s">
        <v>30</v>
      </c>
      <c r="F126" s="30" t="s">
        <v>64</v>
      </c>
      <c r="G126" s="30" t="s">
        <v>27</v>
      </c>
      <c r="H126" s="30" t="s">
        <v>0</v>
      </c>
      <c r="I126" s="30" t="s">
        <v>0</v>
      </c>
      <c r="J126" s="30" t="s">
        <v>0</v>
      </c>
      <c r="K126" s="30" t="s">
        <v>0</v>
      </c>
      <c r="L126" s="30" t="s">
        <v>0</v>
      </c>
      <c r="M126" s="32">
        <f>M127</f>
        <v>24828868.810000002</v>
      </c>
      <c r="N126" s="32">
        <f t="shared" si="47"/>
        <v>18153091.690000001</v>
      </c>
      <c r="O126" s="32">
        <f t="shared" si="47"/>
        <v>18153091.690000001</v>
      </c>
      <c r="P126" s="33">
        <f t="shared" si="25"/>
        <v>0.73112842268064648</v>
      </c>
    </row>
    <row r="127" spans="1:16" s="34" customFormat="1" ht="48.9" customHeight="1" x14ac:dyDescent="0.25">
      <c r="A127" s="29" t="s">
        <v>234</v>
      </c>
      <c r="B127" s="30" t="s">
        <v>132</v>
      </c>
      <c r="C127" s="30" t="s">
        <v>14</v>
      </c>
      <c r="D127" s="30" t="s">
        <v>265</v>
      </c>
      <c r="E127" s="30" t="s">
        <v>30</v>
      </c>
      <c r="F127" s="30" t="s">
        <v>64</v>
      </c>
      <c r="G127" s="30" t="s">
        <v>27</v>
      </c>
      <c r="H127" s="30" t="s">
        <v>235</v>
      </c>
      <c r="I127" s="31" t="s">
        <v>0</v>
      </c>
      <c r="J127" s="31" t="s">
        <v>0</v>
      </c>
      <c r="K127" s="31" t="s">
        <v>0</v>
      </c>
      <c r="L127" s="31" t="s">
        <v>0</v>
      </c>
      <c r="M127" s="32">
        <f>M128</f>
        <v>24828868.810000002</v>
      </c>
      <c r="N127" s="32">
        <f t="shared" si="47"/>
        <v>18153091.690000001</v>
      </c>
      <c r="O127" s="32">
        <f t="shared" si="47"/>
        <v>18153091.690000001</v>
      </c>
      <c r="P127" s="33">
        <f t="shared" si="25"/>
        <v>0.73112842268064648</v>
      </c>
    </row>
    <row r="128" spans="1:16" s="34" customFormat="1" ht="64.5" customHeight="1" x14ac:dyDescent="0.25">
      <c r="A128" s="29" t="s">
        <v>200</v>
      </c>
      <c r="B128" s="30" t="s">
        <v>132</v>
      </c>
      <c r="C128" s="30" t="s">
        <v>14</v>
      </c>
      <c r="D128" s="30" t="s">
        <v>265</v>
      </c>
      <c r="E128" s="30" t="s">
        <v>30</v>
      </c>
      <c r="F128" s="30" t="s">
        <v>64</v>
      </c>
      <c r="G128" s="30" t="s">
        <v>27</v>
      </c>
      <c r="H128" s="30" t="s">
        <v>235</v>
      </c>
      <c r="I128" s="30" t="s">
        <v>201</v>
      </c>
      <c r="J128" s="30" t="s">
        <v>0</v>
      </c>
      <c r="K128" s="30" t="s">
        <v>0</v>
      </c>
      <c r="L128" s="30" t="s">
        <v>0</v>
      </c>
      <c r="M128" s="32">
        <f>M129+M133+M135+M138+M140+M142+M144+M146+M131</f>
        <v>24828868.810000002</v>
      </c>
      <c r="N128" s="32">
        <f t="shared" ref="N128:O128" si="48">N129+N133+N135+N138+N140+N142+N144+N146+N131</f>
        <v>18153091.690000001</v>
      </c>
      <c r="O128" s="32">
        <f t="shared" si="48"/>
        <v>18153091.690000001</v>
      </c>
      <c r="P128" s="33">
        <f t="shared" si="25"/>
        <v>0.73112842268064648</v>
      </c>
    </row>
    <row r="129" spans="1:16" s="34" customFormat="1" ht="30" customHeight="1" x14ac:dyDescent="0.25">
      <c r="A129" s="29" t="s">
        <v>332</v>
      </c>
      <c r="B129" s="36" t="s">
        <v>0</v>
      </c>
      <c r="C129" s="36" t="s">
        <v>0</v>
      </c>
      <c r="D129" s="36" t="s">
        <v>0</v>
      </c>
      <c r="E129" s="36" t="s">
        <v>0</v>
      </c>
      <c r="F129" s="36" t="s">
        <v>0</v>
      </c>
      <c r="G129" s="36" t="s">
        <v>0</v>
      </c>
      <c r="H129" s="36" t="s">
        <v>0</v>
      </c>
      <c r="I129" s="36" t="s">
        <v>0</v>
      </c>
      <c r="J129" s="36" t="s">
        <v>0</v>
      </c>
      <c r="K129" s="36" t="s">
        <v>0</v>
      </c>
      <c r="L129" s="36" t="s">
        <v>0</v>
      </c>
      <c r="M129" s="32">
        <f>M130</f>
        <v>8692828.2400000002</v>
      </c>
      <c r="N129" s="32">
        <f t="shared" ref="N129:O129" si="49">N130</f>
        <v>8318340.7800000003</v>
      </c>
      <c r="O129" s="32">
        <f t="shared" si="49"/>
        <v>8318340.7800000003</v>
      </c>
      <c r="P129" s="33">
        <f t="shared" si="25"/>
        <v>0.95691995175093902</v>
      </c>
    </row>
    <row r="130" spans="1:16" ht="48.9" customHeight="1" x14ac:dyDescent="0.25">
      <c r="A130" s="18" t="s">
        <v>276</v>
      </c>
      <c r="B130" s="19" t="s">
        <v>132</v>
      </c>
      <c r="C130" s="19" t="s">
        <v>14</v>
      </c>
      <c r="D130" s="19" t="s">
        <v>265</v>
      </c>
      <c r="E130" s="19" t="s">
        <v>30</v>
      </c>
      <c r="F130" s="19" t="s">
        <v>64</v>
      </c>
      <c r="G130" s="19" t="s">
        <v>27</v>
      </c>
      <c r="H130" s="19" t="s">
        <v>235</v>
      </c>
      <c r="I130" s="19" t="s">
        <v>201</v>
      </c>
      <c r="J130" s="21" t="s">
        <v>51</v>
      </c>
      <c r="K130" s="21" t="s">
        <v>277</v>
      </c>
      <c r="L130" s="21" t="s">
        <v>53</v>
      </c>
      <c r="M130" s="17">
        <f>10210222.05-1517393.81</f>
        <v>8692828.2400000002</v>
      </c>
      <c r="N130" s="17">
        <v>8318340.7800000003</v>
      </c>
      <c r="O130" s="17">
        <v>8318340.7800000003</v>
      </c>
      <c r="P130" s="28">
        <f t="shared" si="25"/>
        <v>0.95691995175093902</v>
      </c>
    </row>
    <row r="131" spans="1:16" s="34" customFormat="1" ht="30" customHeight="1" x14ac:dyDescent="0.25">
      <c r="A131" s="29" t="s">
        <v>272</v>
      </c>
      <c r="B131" s="36" t="s">
        <v>0</v>
      </c>
      <c r="C131" s="36" t="s">
        <v>0</v>
      </c>
      <c r="D131" s="36" t="s">
        <v>0</v>
      </c>
      <c r="E131" s="36" t="s">
        <v>0</v>
      </c>
      <c r="F131" s="36" t="s">
        <v>0</v>
      </c>
      <c r="G131" s="36" t="s">
        <v>0</v>
      </c>
      <c r="H131" s="36" t="s">
        <v>0</v>
      </c>
      <c r="I131" s="36" t="s">
        <v>0</v>
      </c>
      <c r="J131" s="36" t="s">
        <v>0</v>
      </c>
      <c r="K131" s="36" t="s">
        <v>0</v>
      </c>
      <c r="L131" s="36" t="s">
        <v>0</v>
      </c>
      <c r="M131" s="32">
        <f>M132</f>
        <v>5417631.5</v>
      </c>
      <c r="N131" s="32">
        <f t="shared" ref="N131:O131" si="50">N132</f>
        <v>0</v>
      </c>
      <c r="O131" s="32">
        <f t="shared" si="50"/>
        <v>0</v>
      </c>
      <c r="P131" s="33">
        <f t="shared" si="25"/>
        <v>0</v>
      </c>
    </row>
    <row r="132" spans="1:16" ht="46.8" x14ac:dyDescent="0.25">
      <c r="A132" s="18" t="s">
        <v>395</v>
      </c>
      <c r="B132" s="19" t="s">
        <v>132</v>
      </c>
      <c r="C132" s="19" t="s">
        <v>14</v>
      </c>
      <c r="D132" s="19" t="s">
        <v>265</v>
      </c>
      <c r="E132" s="19" t="s">
        <v>30</v>
      </c>
      <c r="F132" s="19" t="s">
        <v>64</v>
      </c>
      <c r="G132" s="19" t="s">
        <v>27</v>
      </c>
      <c r="H132" s="19" t="s">
        <v>235</v>
      </c>
      <c r="I132" s="19" t="s">
        <v>201</v>
      </c>
      <c r="J132" s="21" t="s">
        <v>278</v>
      </c>
      <c r="K132" s="21" t="s">
        <v>13</v>
      </c>
      <c r="L132" s="21">
        <v>2021</v>
      </c>
      <c r="M132" s="17">
        <v>5417631.5</v>
      </c>
      <c r="N132" s="17">
        <v>0</v>
      </c>
      <c r="O132" s="17">
        <v>0</v>
      </c>
      <c r="P132" s="28">
        <f t="shared" si="25"/>
        <v>0</v>
      </c>
    </row>
    <row r="133" spans="1:16" s="34" customFormat="1" ht="30" customHeight="1" x14ac:dyDescent="0.25">
      <c r="A133" s="29" t="s">
        <v>241</v>
      </c>
      <c r="B133" s="36" t="s">
        <v>0</v>
      </c>
      <c r="C133" s="36" t="s">
        <v>0</v>
      </c>
      <c r="D133" s="36" t="s">
        <v>0</v>
      </c>
      <c r="E133" s="36" t="s">
        <v>0</v>
      </c>
      <c r="F133" s="36" t="s">
        <v>0</v>
      </c>
      <c r="G133" s="36" t="s">
        <v>0</v>
      </c>
      <c r="H133" s="36" t="s">
        <v>0</v>
      </c>
      <c r="I133" s="36" t="s">
        <v>0</v>
      </c>
      <c r="J133" s="36" t="s">
        <v>0</v>
      </c>
      <c r="K133" s="36" t="s">
        <v>0</v>
      </c>
      <c r="L133" s="36" t="s">
        <v>0</v>
      </c>
      <c r="M133" s="32">
        <f>M134</f>
        <v>4131641.1</v>
      </c>
      <c r="N133" s="32">
        <f t="shared" ref="N133:O133" si="51">N134</f>
        <v>4131641.1</v>
      </c>
      <c r="O133" s="32">
        <f t="shared" si="51"/>
        <v>4131641.1</v>
      </c>
      <c r="P133" s="33">
        <f t="shared" si="25"/>
        <v>1</v>
      </c>
    </row>
    <row r="134" spans="1:16" ht="48.9" customHeight="1" x14ac:dyDescent="0.25">
      <c r="A134" s="18" t="s">
        <v>334</v>
      </c>
      <c r="B134" s="19" t="s">
        <v>132</v>
      </c>
      <c r="C134" s="19" t="s">
        <v>14</v>
      </c>
      <c r="D134" s="19" t="s">
        <v>265</v>
      </c>
      <c r="E134" s="19" t="s">
        <v>30</v>
      </c>
      <c r="F134" s="19" t="s">
        <v>64</v>
      </c>
      <c r="G134" s="19" t="s">
        <v>27</v>
      </c>
      <c r="H134" s="19" t="s">
        <v>235</v>
      </c>
      <c r="I134" s="19" t="s">
        <v>201</v>
      </c>
      <c r="J134" s="21" t="s">
        <v>239</v>
      </c>
      <c r="K134" s="21" t="s">
        <v>13</v>
      </c>
      <c r="L134" s="21" t="s">
        <v>53</v>
      </c>
      <c r="M134" s="17">
        <f>4926021.7-794380.6</f>
        <v>4131641.1</v>
      </c>
      <c r="N134" s="17">
        <v>4131641.1</v>
      </c>
      <c r="O134" s="17">
        <v>4131641.1</v>
      </c>
      <c r="P134" s="28">
        <f t="shared" si="25"/>
        <v>1</v>
      </c>
    </row>
    <row r="135" spans="1:16" s="34" customFormat="1" ht="30" customHeight="1" x14ac:dyDescent="0.25">
      <c r="A135" s="29" t="s">
        <v>372</v>
      </c>
      <c r="B135" s="36" t="s">
        <v>0</v>
      </c>
      <c r="C135" s="36" t="s">
        <v>0</v>
      </c>
      <c r="D135" s="36" t="s">
        <v>0</v>
      </c>
      <c r="E135" s="36" t="s">
        <v>0</v>
      </c>
      <c r="F135" s="36" t="s">
        <v>0</v>
      </c>
      <c r="G135" s="36" t="s">
        <v>0</v>
      </c>
      <c r="H135" s="36" t="s">
        <v>0</v>
      </c>
      <c r="I135" s="36" t="s">
        <v>0</v>
      </c>
      <c r="J135" s="36" t="s">
        <v>0</v>
      </c>
      <c r="K135" s="36" t="s">
        <v>0</v>
      </c>
      <c r="L135" s="36" t="s">
        <v>0</v>
      </c>
      <c r="M135" s="32">
        <f>M137+M136</f>
        <v>2138339.31</v>
      </c>
      <c r="N135" s="32">
        <f t="shared" ref="N135:O135" si="52">N137+N136</f>
        <v>1254681.1500000001</v>
      </c>
      <c r="O135" s="32">
        <f t="shared" si="52"/>
        <v>1254681.1500000001</v>
      </c>
      <c r="P135" s="33">
        <f t="shared" ref="P135:P198" si="53">O135/M135</f>
        <v>0.58675493834512171</v>
      </c>
    </row>
    <row r="136" spans="1:16" ht="48.9" customHeight="1" x14ac:dyDescent="0.25">
      <c r="A136" s="18" t="s">
        <v>335</v>
      </c>
      <c r="B136" s="19" t="s">
        <v>132</v>
      </c>
      <c r="C136" s="19" t="s">
        <v>14</v>
      </c>
      <c r="D136" s="19" t="s">
        <v>265</v>
      </c>
      <c r="E136" s="19" t="s">
        <v>30</v>
      </c>
      <c r="F136" s="19" t="s">
        <v>64</v>
      </c>
      <c r="G136" s="19" t="s">
        <v>27</v>
      </c>
      <c r="H136" s="19" t="s">
        <v>235</v>
      </c>
      <c r="I136" s="19" t="s">
        <v>201</v>
      </c>
      <c r="J136" s="21" t="s">
        <v>278</v>
      </c>
      <c r="K136" s="21" t="s">
        <v>13</v>
      </c>
      <c r="L136" s="21" t="s">
        <v>53</v>
      </c>
      <c r="M136" s="17">
        <f>1026220-142561.84</f>
        <v>883658.16</v>
      </c>
      <c r="N136" s="17">
        <v>0</v>
      </c>
      <c r="O136" s="17">
        <v>0</v>
      </c>
      <c r="P136" s="28">
        <f t="shared" si="53"/>
        <v>0</v>
      </c>
    </row>
    <row r="137" spans="1:16" ht="46.8" x14ac:dyDescent="0.25">
      <c r="A137" s="18" t="s">
        <v>336</v>
      </c>
      <c r="B137" s="19" t="s">
        <v>132</v>
      </c>
      <c r="C137" s="19" t="s">
        <v>14</v>
      </c>
      <c r="D137" s="19" t="s">
        <v>265</v>
      </c>
      <c r="E137" s="19" t="s">
        <v>30</v>
      </c>
      <c r="F137" s="19" t="s">
        <v>64</v>
      </c>
      <c r="G137" s="19" t="s">
        <v>27</v>
      </c>
      <c r="H137" s="19" t="s">
        <v>235</v>
      </c>
      <c r="I137" s="19" t="s">
        <v>201</v>
      </c>
      <c r="J137" s="21" t="s">
        <v>278</v>
      </c>
      <c r="K137" s="21" t="s">
        <v>13</v>
      </c>
      <c r="L137" s="21" t="s">
        <v>53</v>
      </c>
      <c r="M137" s="17">
        <f>1700481-25393.89-420405.96</f>
        <v>1254681.1500000001</v>
      </c>
      <c r="N137" s="17">
        <v>1254681.1500000001</v>
      </c>
      <c r="O137" s="17">
        <v>1254681.1500000001</v>
      </c>
      <c r="P137" s="28">
        <f t="shared" si="53"/>
        <v>1</v>
      </c>
    </row>
    <row r="138" spans="1:16" s="34" customFormat="1" ht="30" customHeight="1" x14ac:dyDescent="0.25">
      <c r="A138" s="29" t="s">
        <v>205</v>
      </c>
      <c r="B138" s="36" t="s">
        <v>0</v>
      </c>
      <c r="C138" s="36" t="s">
        <v>0</v>
      </c>
      <c r="D138" s="36" t="s">
        <v>0</v>
      </c>
      <c r="E138" s="36" t="s">
        <v>0</v>
      </c>
      <c r="F138" s="36" t="s">
        <v>0</v>
      </c>
      <c r="G138" s="36" t="s">
        <v>0</v>
      </c>
      <c r="H138" s="36" t="s">
        <v>0</v>
      </c>
      <c r="I138" s="36" t="s">
        <v>0</v>
      </c>
      <c r="J138" s="36" t="s">
        <v>0</v>
      </c>
      <c r="K138" s="36" t="s">
        <v>0</v>
      </c>
      <c r="L138" s="36" t="s">
        <v>0</v>
      </c>
      <c r="M138" s="32">
        <f>M139</f>
        <v>25393.89</v>
      </c>
      <c r="N138" s="32">
        <f t="shared" ref="N138:O138" si="54">N139</f>
        <v>25393.89</v>
      </c>
      <c r="O138" s="32">
        <f t="shared" si="54"/>
        <v>25393.89</v>
      </c>
      <c r="P138" s="33">
        <f t="shared" si="53"/>
        <v>1</v>
      </c>
    </row>
    <row r="139" spans="1:16" ht="46.8" x14ac:dyDescent="0.25">
      <c r="A139" s="18" t="s">
        <v>336</v>
      </c>
      <c r="B139" s="19" t="s">
        <v>132</v>
      </c>
      <c r="C139" s="19" t="s">
        <v>14</v>
      </c>
      <c r="D139" s="19" t="s">
        <v>265</v>
      </c>
      <c r="E139" s="19" t="s">
        <v>30</v>
      </c>
      <c r="F139" s="19" t="s">
        <v>64</v>
      </c>
      <c r="G139" s="19" t="s">
        <v>27</v>
      </c>
      <c r="H139" s="19" t="s">
        <v>235</v>
      </c>
      <c r="I139" s="19" t="s">
        <v>201</v>
      </c>
      <c r="J139" s="21" t="s">
        <v>278</v>
      </c>
      <c r="K139" s="21" t="s">
        <v>13</v>
      </c>
      <c r="L139" s="21" t="s">
        <v>53</v>
      </c>
      <c r="M139" s="17">
        <v>25393.89</v>
      </c>
      <c r="N139" s="17">
        <v>25393.89</v>
      </c>
      <c r="O139" s="17">
        <v>25393.89</v>
      </c>
      <c r="P139" s="28">
        <f t="shared" si="53"/>
        <v>1</v>
      </c>
    </row>
    <row r="140" spans="1:16" s="34" customFormat="1" ht="30" customHeight="1" x14ac:dyDescent="0.25">
      <c r="A140" s="29" t="s">
        <v>255</v>
      </c>
      <c r="B140" s="36" t="s">
        <v>0</v>
      </c>
      <c r="C140" s="36" t="s">
        <v>0</v>
      </c>
      <c r="D140" s="36" t="s">
        <v>0</v>
      </c>
      <c r="E140" s="36" t="s">
        <v>0</v>
      </c>
      <c r="F140" s="36" t="s">
        <v>0</v>
      </c>
      <c r="G140" s="36" t="s">
        <v>0</v>
      </c>
      <c r="H140" s="36" t="s">
        <v>0</v>
      </c>
      <c r="I140" s="36" t="s">
        <v>0</v>
      </c>
      <c r="J140" s="36" t="s">
        <v>0</v>
      </c>
      <c r="K140" s="36" t="s">
        <v>0</v>
      </c>
      <c r="L140" s="36" t="s">
        <v>0</v>
      </c>
      <c r="M140" s="32">
        <f>M141</f>
        <v>654382.82000000007</v>
      </c>
      <c r="N140" s="32">
        <f t="shared" ref="N140:O140" si="55">N141</f>
        <v>654382.81999999995</v>
      </c>
      <c r="O140" s="32">
        <f t="shared" si="55"/>
        <v>654382.81999999995</v>
      </c>
      <c r="P140" s="33">
        <f t="shared" si="53"/>
        <v>0.99999999999999978</v>
      </c>
    </row>
    <row r="141" spans="1:16" ht="48.9" customHeight="1" x14ac:dyDescent="0.25">
      <c r="A141" s="18" t="s">
        <v>279</v>
      </c>
      <c r="B141" s="19" t="s">
        <v>132</v>
      </c>
      <c r="C141" s="19" t="s">
        <v>14</v>
      </c>
      <c r="D141" s="19" t="s">
        <v>265</v>
      </c>
      <c r="E141" s="19" t="s">
        <v>30</v>
      </c>
      <c r="F141" s="19" t="s">
        <v>64</v>
      </c>
      <c r="G141" s="19" t="s">
        <v>27</v>
      </c>
      <c r="H141" s="19" t="s">
        <v>235</v>
      </c>
      <c r="I141" s="19" t="s">
        <v>201</v>
      </c>
      <c r="J141" s="21" t="s">
        <v>51</v>
      </c>
      <c r="K141" s="21">
        <v>0.66</v>
      </c>
      <c r="L141" s="21" t="s">
        <v>53</v>
      </c>
      <c r="M141" s="17">
        <f>745960-91577.18</f>
        <v>654382.82000000007</v>
      </c>
      <c r="N141" s="17">
        <v>654382.81999999995</v>
      </c>
      <c r="O141" s="17">
        <v>654382.81999999995</v>
      </c>
      <c r="P141" s="28">
        <f t="shared" si="53"/>
        <v>0.99999999999999978</v>
      </c>
    </row>
    <row r="142" spans="1:16" s="34" customFormat="1" ht="30" customHeight="1" x14ac:dyDescent="0.25">
      <c r="A142" s="29" t="s">
        <v>208</v>
      </c>
      <c r="B142" s="36" t="s">
        <v>0</v>
      </c>
      <c r="C142" s="36" t="s">
        <v>0</v>
      </c>
      <c r="D142" s="36" t="s">
        <v>0</v>
      </c>
      <c r="E142" s="36" t="s">
        <v>0</v>
      </c>
      <c r="F142" s="36" t="s">
        <v>0</v>
      </c>
      <c r="G142" s="36" t="s">
        <v>0</v>
      </c>
      <c r="H142" s="36" t="s">
        <v>0</v>
      </c>
      <c r="I142" s="36" t="s">
        <v>0</v>
      </c>
      <c r="J142" s="36" t="s">
        <v>0</v>
      </c>
      <c r="K142" s="36" t="s">
        <v>0</v>
      </c>
      <c r="L142" s="36" t="s">
        <v>0</v>
      </c>
      <c r="M142" s="32">
        <f>M143</f>
        <v>1172441.8400000001</v>
      </c>
      <c r="N142" s="32">
        <f t="shared" ref="N142:O142" si="56">N143</f>
        <v>1172441.8400000001</v>
      </c>
      <c r="O142" s="32">
        <f t="shared" si="56"/>
        <v>1172441.8400000001</v>
      </c>
      <c r="P142" s="33">
        <f t="shared" si="53"/>
        <v>1</v>
      </c>
    </row>
    <row r="143" spans="1:16" ht="48.9" customHeight="1" x14ac:dyDescent="0.25">
      <c r="A143" s="18" t="s">
        <v>280</v>
      </c>
      <c r="B143" s="19" t="s">
        <v>132</v>
      </c>
      <c r="C143" s="19" t="s">
        <v>14</v>
      </c>
      <c r="D143" s="19" t="s">
        <v>265</v>
      </c>
      <c r="E143" s="19" t="s">
        <v>30</v>
      </c>
      <c r="F143" s="19" t="s">
        <v>64</v>
      </c>
      <c r="G143" s="19" t="s">
        <v>27</v>
      </c>
      <c r="H143" s="19" t="s">
        <v>235</v>
      </c>
      <c r="I143" s="19" t="s">
        <v>201</v>
      </c>
      <c r="J143" s="21" t="s">
        <v>51</v>
      </c>
      <c r="K143" s="21" t="s">
        <v>281</v>
      </c>
      <c r="L143" s="21" t="s">
        <v>53</v>
      </c>
      <c r="M143" s="17">
        <f>1500000-327558.16</f>
        <v>1172441.8400000001</v>
      </c>
      <c r="N143" s="17">
        <v>1172441.8400000001</v>
      </c>
      <c r="O143" s="17">
        <v>1172441.8400000001</v>
      </c>
      <c r="P143" s="28">
        <f t="shared" si="53"/>
        <v>1</v>
      </c>
    </row>
    <row r="144" spans="1:16" s="34" customFormat="1" ht="32.25" customHeight="1" x14ac:dyDescent="0.25">
      <c r="A144" s="29" t="s">
        <v>282</v>
      </c>
      <c r="B144" s="36" t="s">
        <v>0</v>
      </c>
      <c r="C144" s="36" t="s">
        <v>0</v>
      </c>
      <c r="D144" s="36" t="s">
        <v>0</v>
      </c>
      <c r="E144" s="36" t="s">
        <v>0</v>
      </c>
      <c r="F144" s="36" t="s">
        <v>0</v>
      </c>
      <c r="G144" s="36" t="s">
        <v>0</v>
      </c>
      <c r="H144" s="36" t="s">
        <v>0</v>
      </c>
      <c r="I144" s="36" t="s">
        <v>0</v>
      </c>
      <c r="J144" s="36" t="s">
        <v>0</v>
      </c>
      <c r="K144" s="36" t="s">
        <v>0</v>
      </c>
      <c r="L144" s="36" t="s">
        <v>0</v>
      </c>
      <c r="M144" s="32">
        <f>M145</f>
        <v>899182.75</v>
      </c>
      <c r="N144" s="32">
        <f t="shared" ref="N144:O144" si="57">N145</f>
        <v>899182.75</v>
      </c>
      <c r="O144" s="32">
        <f t="shared" si="57"/>
        <v>899182.75</v>
      </c>
      <c r="P144" s="33">
        <f t="shared" si="53"/>
        <v>1</v>
      </c>
    </row>
    <row r="145" spans="1:16" ht="46.8" x14ac:dyDescent="0.25">
      <c r="A145" s="18" t="s">
        <v>333</v>
      </c>
      <c r="B145" s="19" t="s">
        <v>132</v>
      </c>
      <c r="C145" s="19" t="s">
        <v>14</v>
      </c>
      <c r="D145" s="19" t="s">
        <v>265</v>
      </c>
      <c r="E145" s="19" t="s">
        <v>30</v>
      </c>
      <c r="F145" s="19" t="s">
        <v>64</v>
      </c>
      <c r="G145" s="19" t="s">
        <v>27</v>
      </c>
      <c r="H145" s="19" t="s">
        <v>235</v>
      </c>
      <c r="I145" s="19" t="s">
        <v>201</v>
      </c>
      <c r="J145" s="21" t="s">
        <v>51</v>
      </c>
      <c r="K145" s="21" t="s">
        <v>283</v>
      </c>
      <c r="L145" s="21" t="s">
        <v>53</v>
      </c>
      <c r="M145" s="17">
        <f>1052804.5-153621.75</f>
        <v>899182.75</v>
      </c>
      <c r="N145" s="17">
        <v>899182.75</v>
      </c>
      <c r="O145" s="17">
        <v>899182.75</v>
      </c>
      <c r="P145" s="28">
        <f t="shared" si="53"/>
        <v>1</v>
      </c>
    </row>
    <row r="146" spans="1:16" s="34" customFormat="1" ht="32.25" customHeight="1" x14ac:dyDescent="0.25">
      <c r="A146" s="29" t="s">
        <v>247</v>
      </c>
      <c r="B146" s="36" t="s">
        <v>0</v>
      </c>
      <c r="C146" s="36" t="s">
        <v>0</v>
      </c>
      <c r="D146" s="36" t="s">
        <v>0</v>
      </c>
      <c r="E146" s="36" t="s">
        <v>0</v>
      </c>
      <c r="F146" s="36" t="s">
        <v>0</v>
      </c>
      <c r="G146" s="36" t="s">
        <v>0</v>
      </c>
      <c r="H146" s="36" t="s">
        <v>0</v>
      </c>
      <c r="I146" s="36" t="s">
        <v>0</v>
      </c>
      <c r="J146" s="36" t="s">
        <v>0</v>
      </c>
      <c r="K146" s="36" t="s">
        <v>0</v>
      </c>
      <c r="L146" s="36" t="s">
        <v>0</v>
      </c>
      <c r="M146" s="32">
        <f>M147</f>
        <v>1697027.3599999999</v>
      </c>
      <c r="N146" s="32">
        <f t="shared" ref="N146:O146" si="58">N147</f>
        <v>1697027.36</v>
      </c>
      <c r="O146" s="32">
        <f t="shared" si="58"/>
        <v>1697027.36</v>
      </c>
      <c r="P146" s="33">
        <f t="shared" si="53"/>
        <v>1.0000000000000002</v>
      </c>
    </row>
    <row r="147" spans="1:16" ht="64.5" customHeight="1" x14ac:dyDescent="0.25">
      <c r="A147" s="18" t="s">
        <v>284</v>
      </c>
      <c r="B147" s="19" t="s">
        <v>132</v>
      </c>
      <c r="C147" s="19" t="s">
        <v>14</v>
      </c>
      <c r="D147" s="19" t="s">
        <v>265</v>
      </c>
      <c r="E147" s="19" t="s">
        <v>30</v>
      </c>
      <c r="F147" s="19" t="s">
        <v>64</v>
      </c>
      <c r="G147" s="19" t="s">
        <v>27</v>
      </c>
      <c r="H147" s="19" t="s">
        <v>235</v>
      </c>
      <c r="I147" s="19" t="s">
        <v>201</v>
      </c>
      <c r="J147" s="21" t="s">
        <v>51</v>
      </c>
      <c r="K147" s="21">
        <v>0.91</v>
      </c>
      <c r="L147" s="21" t="s">
        <v>53</v>
      </c>
      <c r="M147" s="17">
        <f>1984160.5-287133.14</f>
        <v>1697027.3599999999</v>
      </c>
      <c r="N147" s="17">
        <v>1697027.36</v>
      </c>
      <c r="O147" s="17">
        <v>1697027.36</v>
      </c>
      <c r="P147" s="28">
        <f t="shared" si="53"/>
        <v>1.0000000000000002</v>
      </c>
    </row>
    <row r="148" spans="1:16" s="34" customFormat="1" ht="32.25" customHeight="1" x14ac:dyDescent="0.25">
      <c r="A148" s="29" t="s">
        <v>285</v>
      </c>
      <c r="B148" s="30" t="s">
        <v>132</v>
      </c>
      <c r="C148" s="30" t="s">
        <v>14</v>
      </c>
      <c r="D148" s="30" t="s">
        <v>72</v>
      </c>
      <c r="E148" s="30" t="s">
        <v>0</v>
      </c>
      <c r="F148" s="30" t="s">
        <v>0</v>
      </c>
      <c r="G148" s="30" t="s">
        <v>0</v>
      </c>
      <c r="H148" s="31" t="s">
        <v>0</v>
      </c>
      <c r="I148" s="31" t="s">
        <v>0</v>
      </c>
      <c r="J148" s="31" t="s">
        <v>0</v>
      </c>
      <c r="K148" s="31" t="s">
        <v>0</v>
      </c>
      <c r="L148" s="31" t="s">
        <v>0</v>
      </c>
      <c r="M148" s="32">
        <f t="shared" ref="M148:O154" si="59">M149</f>
        <v>50511717.810000002</v>
      </c>
      <c r="N148" s="32">
        <f t="shared" si="59"/>
        <v>50480713.810000002</v>
      </c>
      <c r="O148" s="32">
        <f t="shared" si="59"/>
        <v>50480713.810000002</v>
      </c>
      <c r="P148" s="33">
        <f t="shared" si="53"/>
        <v>0.99938620182911575</v>
      </c>
    </row>
    <row r="149" spans="1:16" s="34" customFormat="1" ht="32.25" customHeight="1" x14ac:dyDescent="0.25">
      <c r="A149" s="29" t="s">
        <v>29</v>
      </c>
      <c r="B149" s="30" t="s">
        <v>132</v>
      </c>
      <c r="C149" s="30" t="s">
        <v>14</v>
      </c>
      <c r="D149" s="30" t="s">
        <v>72</v>
      </c>
      <c r="E149" s="30" t="s">
        <v>30</v>
      </c>
      <c r="F149" s="30" t="s">
        <v>0</v>
      </c>
      <c r="G149" s="30" t="s">
        <v>0</v>
      </c>
      <c r="H149" s="31" t="s">
        <v>0</v>
      </c>
      <c r="I149" s="31" t="s">
        <v>0</v>
      </c>
      <c r="J149" s="31" t="s">
        <v>0</v>
      </c>
      <c r="K149" s="31" t="s">
        <v>0</v>
      </c>
      <c r="L149" s="31" t="s">
        <v>0</v>
      </c>
      <c r="M149" s="32">
        <f t="shared" si="59"/>
        <v>50511717.810000002</v>
      </c>
      <c r="N149" s="32">
        <f t="shared" si="59"/>
        <v>50480713.810000002</v>
      </c>
      <c r="O149" s="32">
        <f t="shared" si="59"/>
        <v>50480713.810000002</v>
      </c>
      <c r="P149" s="33">
        <f t="shared" si="53"/>
        <v>0.99938620182911575</v>
      </c>
    </row>
    <row r="150" spans="1:16" s="34" customFormat="1" ht="15" customHeight="1" x14ac:dyDescent="0.25">
      <c r="A150" s="35" t="s">
        <v>63</v>
      </c>
      <c r="B150" s="30" t="s">
        <v>132</v>
      </c>
      <c r="C150" s="30" t="s">
        <v>14</v>
      </c>
      <c r="D150" s="30" t="s">
        <v>72</v>
      </c>
      <c r="E150" s="30" t="s">
        <v>30</v>
      </c>
      <c r="F150" s="30" t="s">
        <v>64</v>
      </c>
      <c r="G150" s="30" t="s">
        <v>0</v>
      </c>
      <c r="H150" s="30" t="s">
        <v>0</v>
      </c>
      <c r="I150" s="30" t="s">
        <v>0</v>
      </c>
      <c r="J150" s="30" t="s">
        <v>0</v>
      </c>
      <c r="K150" s="30" t="s">
        <v>0</v>
      </c>
      <c r="L150" s="30" t="s">
        <v>0</v>
      </c>
      <c r="M150" s="32">
        <f t="shared" si="59"/>
        <v>50511717.810000002</v>
      </c>
      <c r="N150" s="32">
        <f t="shared" si="59"/>
        <v>50480713.810000002</v>
      </c>
      <c r="O150" s="32">
        <f t="shared" si="59"/>
        <v>50480713.810000002</v>
      </c>
      <c r="P150" s="33">
        <f t="shared" si="53"/>
        <v>0.99938620182911575</v>
      </c>
    </row>
    <row r="151" spans="1:16" s="34" customFormat="1" ht="15" customHeight="1" x14ac:dyDescent="0.25">
      <c r="A151" s="35" t="s">
        <v>65</v>
      </c>
      <c r="B151" s="30" t="s">
        <v>132</v>
      </c>
      <c r="C151" s="30" t="s">
        <v>14</v>
      </c>
      <c r="D151" s="30" t="s">
        <v>72</v>
      </c>
      <c r="E151" s="30" t="s">
        <v>30</v>
      </c>
      <c r="F151" s="30" t="s">
        <v>64</v>
      </c>
      <c r="G151" s="30" t="s">
        <v>27</v>
      </c>
      <c r="H151" s="30" t="s">
        <v>0</v>
      </c>
      <c r="I151" s="30" t="s">
        <v>0</v>
      </c>
      <c r="J151" s="30" t="s">
        <v>0</v>
      </c>
      <c r="K151" s="30" t="s">
        <v>0</v>
      </c>
      <c r="L151" s="30" t="s">
        <v>0</v>
      </c>
      <c r="M151" s="32">
        <f t="shared" si="59"/>
        <v>50511717.810000002</v>
      </c>
      <c r="N151" s="32">
        <f t="shared" si="59"/>
        <v>50480713.810000002</v>
      </c>
      <c r="O151" s="32">
        <f t="shared" si="59"/>
        <v>50480713.810000002</v>
      </c>
      <c r="P151" s="33">
        <f t="shared" si="53"/>
        <v>0.99938620182911575</v>
      </c>
    </row>
    <row r="152" spans="1:16" s="34" customFormat="1" ht="48.9" customHeight="1" x14ac:dyDescent="0.25">
      <c r="A152" s="29" t="s">
        <v>234</v>
      </c>
      <c r="B152" s="30" t="s">
        <v>132</v>
      </c>
      <c r="C152" s="30" t="s">
        <v>14</v>
      </c>
      <c r="D152" s="30" t="s">
        <v>72</v>
      </c>
      <c r="E152" s="30" t="s">
        <v>30</v>
      </c>
      <c r="F152" s="30" t="s">
        <v>64</v>
      </c>
      <c r="G152" s="30" t="s">
        <v>27</v>
      </c>
      <c r="H152" s="30" t="s">
        <v>235</v>
      </c>
      <c r="I152" s="31" t="s">
        <v>0</v>
      </c>
      <c r="J152" s="31" t="s">
        <v>0</v>
      </c>
      <c r="K152" s="31" t="s">
        <v>0</v>
      </c>
      <c r="L152" s="31" t="s">
        <v>0</v>
      </c>
      <c r="M152" s="32">
        <f t="shared" si="59"/>
        <v>50511717.810000002</v>
      </c>
      <c r="N152" s="32">
        <f t="shared" si="59"/>
        <v>50480713.810000002</v>
      </c>
      <c r="O152" s="32">
        <f t="shared" si="59"/>
        <v>50480713.810000002</v>
      </c>
      <c r="P152" s="33">
        <f t="shared" si="53"/>
        <v>0.99938620182911575</v>
      </c>
    </row>
    <row r="153" spans="1:16" s="34" customFormat="1" ht="64.5" customHeight="1" x14ac:dyDescent="0.25">
      <c r="A153" s="29" t="s">
        <v>200</v>
      </c>
      <c r="B153" s="30" t="s">
        <v>132</v>
      </c>
      <c r="C153" s="30" t="s">
        <v>14</v>
      </c>
      <c r="D153" s="30" t="s">
        <v>72</v>
      </c>
      <c r="E153" s="30" t="s">
        <v>30</v>
      </c>
      <c r="F153" s="30" t="s">
        <v>64</v>
      </c>
      <c r="G153" s="30" t="s">
        <v>27</v>
      </c>
      <c r="H153" s="30" t="s">
        <v>235</v>
      </c>
      <c r="I153" s="30" t="s">
        <v>201</v>
      </c>
      <c r="J153" s="30" t="s">
        <v>0</v>
      </c>
      <c r="K153" s="30" t="s">
        <v>0</v>
      </c>
      <c r="L153" s="30" t="s">
        <v>0</v>
      </c>
      <c r="M153" s="32">
        <f t="shared" si="59"/>
        <v>50511717.810000002</v>
      </c>
      <c r="N153" s="32">
        <f t="shared" si="59"/>
        <v>50480713.810000002</v>
      </c>
      <c r="O153" s="32">
        <f t="shared" si="59"/>
        <v>50480713.810000002</v>
      </c>
      <c r="P153" s="33">
        <f t="shared" si="53"/>
        <v>0.99938620182911575</v>
      </c>
    </row>
    <row r="154" spans="1:16" s="34" customFormat="1" ht="15" customHeight="1" x14ac:dyDescent="0.25">
      <c r="A154" s="29" t="s">
        <v>332</v>
      </c>
      <c r="B154" s="36" t="s">
        <v>0</v>
      </c>
      <c r="C154" s="36" t="s">
        <v>0</v>
      </c>
      <c r="D154" s="36" t="s">
        <v>0</v>
      </c>
      <c r="E154" s="36" t="s">
        <v>0</v>
      </c>
      <c r="F154" s="36" t="s">
        <v>0</v>
      </c>
      <c r="G154" s="36" t="s">
        <v>0</v>
      </c>
      <c r="H154" s="36" t="s">
        <v>0</v>
      </c>
      <c r="I154" s="36" t="s">
        <v>0</v>
      </c>
      <c r="J154" s="36" t="s">
        <v>0</v>
      </c>
      <c r="K154" s="36" t="s">
        <v>0</v>
      </c>
      <c r="L154" s="36" t="s">
        <v>0</v>
      </c>
      <c r="M154" s="32">
        <f t="shared" si="59"/>
        <v>50511717.810000002</v>
      </c>
      <c r="N154" s="32">
        <f t="shared" si="59"/>
        <v>50480713.810000002</v>
      </c>
      <c r="O154" s="32">
        <f t="shared" si="59"/>
        <v>50480713.810000002</v>
      </c>
      <c r="P154" s="33">
        <f t="shared" si="53"/>
        <v>0.99938620182911575</v>
      </c>
    </row>
    <row r="155" spans="1:16" ht="93.6" x14ac:dyDescent="0.25">
      <c r="A155" s="18" t="s">
        <v>373</v>
      </c>
      <c r="B155" s="19" t="s">
        <v>132</v>
      </c>
      <c r="C155" s="19" t="s">
        <v>14</v>
      </c>
      <c r="D155" s="19" t="s">
        <v>72</v>
      </c>
      <c r="E155" s="19" t="s">
        <v>30</v>
      </c>
      <c r="F155" s="19" t="s">
        <v>64</v>
      </c>
      <c r="G155" s="19" t="s">
        <v>27</v>
      </c>
      <c r="H155" s="19" t="s">
        <v>235</v>
      </c>
      <c r="I155" s="19" t="s">
        <v>201</v>
      </c>
      <c r="J155" s="21" t="s">
        <v>286</v>
      </c>
      <c r="K155" s="21">
        <v>1538.5</v>
      </c>
      <c r="L155" s="21">
        <v>2020</v>
      </c>
      <c r="M155" s="17">
        <f>47188875+3322842.81</f>
        <v>50511717.810000002</v>
      </c>
      <c r="N155" s="17">
        <v>50480713.810000002</v>
      </c>
      <c r="O155" s="17">
        <v>50480713.810000002</v>
      </c>
      <c r="P155" s="28">
        <f t="shared" si="53"/>
        <v>0.99938620182911575</v>
      </c>
    </row>
    <row r="156" spans="1:16" s="34" customFormat="1" ht="64.5" customHeight="1" x14ac:dyDescent="0.25">
      <c r="A156" s="29" t="s">
        <v>134</v>
      </c>
      <c r="B156" s="30" t="s">
        <v>132</v>
      </c>
      <c r="C156" s="30" t="s">
        <v>14</v>
      </c>
      <c r="D156" s="30" t="s">
        <v>132</v>
      </c>
      <c r="E156" s="30" t="s">
        <v>0</v>
      </c>
      <c r="F156" s="30" t="s">
        <v>0</v>
      </c>
      <c r="G156" s="30" t="s">
        <v>0</v>
      </c>
      <c r="H156" s="31" t="s">
        <v>0</v>
      </c>
      <c r="I156" s="31" t="s">
        <v>0</v>
      </c>
      <c r="J156" s="31" t="s">
        <v>0</v>
      </c>
      <c r="K156" s="31" t="s">
        <v>0</v>
      </c>
      <c r="L156" s="31" t="s">
        <v>0</v>
      </c>
      <c r="M156" s="32">
        <f t="shared" ref="M156:O162" si="60">M157</f>
        <v>1418388</v>
      </c>
      <c r="N156" s="32">
        <f t="shared" si="60"/>
        <v>0</v>
      </c>
      <c r="O156" s="32">
        <f t="shared" si="60"/>
        <v>0</v>
      </c>
      <c r="P156" s="33">
        <f t="shared" si="53"/>
        <v>0</v>
      </c>
    </row>
    <row r="157" spans="1:16" s="34" customFormat="1" ht="32.25" customHeight="1" x14ac:dyDescent="0.25">
      <c r="A157" s="29" t="s">
        <v>29</v>
      </c>
      <c r="B157" s="30" t="s">
        <v>132</v>
      </c>
      <c r="C157" s="30" t="s">
        <v>14</v>
      </c>
      <c r="D157" s="30" t="s">
        <v>132</v>
      </c>
      <c r="E157" s="30" t="s">
        <v>30</v>
      </c>
      <c r="F157" s="30" t="s">
        <v>0</v>
      </c>
      <c r="G157" s="30" t="s">
        <v>0</v>
      </c>
      <c r="H157" s="31" t="s">
        <v>0</v>
      </c>
      <c r="I157" s="31" t="s">
        <v>0</v>
      </c>
      <c r="J157" s="31" t="s">
        <v>0</v>
      </c>
      <c r="K157" s="31" t="s">
        <v>0</v>
      </c>
      <c r="L157" s="31" t="s">
        <v>0</v>
      </c>
      <c r="M157" s="32">
        <f t="shared" si="60"/>
        <v>1418388</v>
      </c>
      <c r="N157" s="32">
        <f t="shared" si="60"/>
        <v>0</v>
      </c>
      <c r="O157" s="32">
        <f t="shared" si="60"/>
        <v>0</v>
      </c>
      <c r="P157" s="33">
        <f t="shared" si="53"/>
        <v>0</v>
      </c>
    </row>
    <row r="158" spans="1:16" s="34" customFormat="1" ht="32.25" customHeight="1" x14ac:dyDescent="0.25">
      <c r="A158" s="35" t="s">
        <v>63</v>
      </c>
      <c r="B158" s="30" t="s">
        <v>132</v>
      </c>
      <c r="C158" s="30" t="s">
        <v>14</v>
      </c>
      <c r="D158" s="30" t="s">
        <v>132</v>
      </c>
      <c r="E158" s="30" t="s">
        <v>30</v>
      </c>
      <c r="F158" s="30" t="s">
        <v>64</v>
      </c>
      <c r="G158" s="30" t="s">
        <v>0</v>
      </c>
      <c r="H158" s="30" t="s">
        <v>0</v>
      </c>
      <c r="I158" s="30" t="s">
        <v>0</v>
      </c>
      <c r="J158" s="30" t="s">
        <v>0</v>
      </c>
      <c r="K158" s="30" t="s">
        <v>0</v>
      </c>
      <c r="L158" s="30" t="s">
        <v>0</v>
      </c>
      <c r="M158" s="32">
        <f t="shared" si="60"/>
        <v>1418388</v>
      </c>
      <c r="N158" s="32">
        <f t="shared" si="60"/>
        <v>0</v>
      </c>
      <c r="O158" s="32">
        <f t="shared" si="60"/>
        <v>0</v>
      </c>
      <c r="P158" s="33">
        <f t="shared" si="53"/>
        <v>0</v>
      </c>
    </row>
    <row r="159" spans="1:16" s="34" customFormat="1" ht="15" customHeight="1" x14ac:dyDescent="0.25">
      <c r="A159" s="35" t="s">
        <v>65</v>
      </c>
      <c r="B159" s="30" t="s">
        <v>132</v>
      </c>
      <c r="C159" s="30" t="s">
        <v>14</v>
      </c>
      <c r="D159" s="30" t="s">
        <v>132</v>
      </c>
      <c r="E159" s="30" t="s">
        <v>30</v>
      </c>
      <c r="F159" s="30" t="s">
        <v>64</v>
      </c>
      <c r="G159" s="30" t="s">
        <v>27</v>
      </c>
      <c r="H159" s="30" t="s">
        <v>0</v>
      </c>
      <c r="I159" s="30" t="s">
        <v>0</v>
      </c>
      <c r="J159" s="30" t="s">
        <v>0</v>
      </c>
      <c r="K159" s="30" t="s">
        <v>0</v>
      </c>
      <c r="L159" s="30" t="s">
        <v>0</v>
      </c>
      <c r="M159" s="32">
        <f t="shared" si="60"/>
        <v>1418388</v>
      </c>
      <c r="N159" s="32">
        <f t="shared" si="60"/>
        <v>0</v>
      </c>
      <c r="O159" s="32">
        <f t="shared" si="60"/>
        <v>0</v>
      </c>
      <c r="P159" s="33">
        <f t="shared" si="53"/>
        <v>0</v>
      </c>
    </row>
    <row r="160" spans="1:16" s="34" customFormat="1" ht="48.9" customHeight="1" x14ac:dyDescent="0.25">
      <c r="A160" s="29" t="s">
        <v>234</v>
      </c>
      <c r="B160" s="30" t="s">
        <v>132</v>
      </c>
      <c r="C160" s="30" t="s">
        <v>14</v>
      </c>
      <c r="D160" s="30" t="s">
        <v>132</v>
      </c>
      <c r="E160" s="30" t="s">
        <v>30</v>
      </c>
      <c r="F160" s="30" t="s">
        <v>64</v>
      </c>
      <c r="G160" s="30" t="s">
        <v>27</v>
      </c>
      <c r="H160" s="30" t="s">
        <v>235</v>
      </c>
      <c r="I160" s="31" t="s">
        <v>0</v>
      </c>
      <c r="J160" s="31" t="s">
        <v>0</v>
      </c>
      <c r="K160" s="31" t="s">
        <v>0</v>
      </c>
      <c r="L160" s="31" t="s">
        <v>0</v>
      </c>
      <c r="M160" s="32">
        <f t="shared" si="60"/>
        <v>1418388</v>
      </c>
      <c r="N160" s="32">
        <f t="shared" si="60"/>
        <v>0</v>
      </c>
      <c r="O160" s="32">
        <f t="shared" si="60"/>
        <v>0</v>
      </c>
      <c r="P160" s="33">
        <f t="shared" si="53"/>
        <v>0</v>
      </c>
    </row>
    <row r="161" spans="1:16" s="34" customFormat="1" ht="80.099999999999994" customHeight="1" x14ac:dyDescent="0.25">
      <c r="A161" s="29" t="s">
        <v>200</v>
      </c>
      <c r="B161" s="30" t="s">
        <v>132</v>
      </c>
      <c r="C161" s="30" t="s">
        <v>14</v>
      </c>
      <c r="D161" s="30" t="s">
        <v>132</v>
      </c>
      <c r="E161" s="30" t="s">
        <v>30</v>
      </c>
      <c r="F161" s="30" t="s">
        <v>64</v>
      </c>
      <c r="G161" s="30" t="s">
        <v>27</v>
      </c>
      <c r="H161" s="30" t="s">
        <v>235</v>
      </c>
      <c r="I161" s="30" t="s">
        <v>201</v>
      </c>
      <c r="J161" s="30" t="s">
        <v>0</v>
      </c>
      <c r="K161" s="30" t="s">
        <v>0</v>
      </c>
      <c r="L161" s="30" t="s">
        <v>0</v>
      </c>
      <c r="M161" s="32">
        <f t="shared" si="60"/>
        <v>1418388</v>
      </c>
      <c r="N161" s="32">
        <f t="shared" si="60"/>
        <v>0</v>
      </c>
      <c r="O161" s="32">
        <f t="shared" si="60"/>
        <v>0</v>
      </c>
      <c r="P161" s="33">
        <f t="shared" si="53"/>
        <v>0</v>
      </c>
    </row>
    <row r="162" spans="1:16" s="34" customFormat="1" ht="32.25" customHeight="1" x14ac:dyDescent="0.25">
      <c r="A162" s="29" t="s">
        <v>238</v>
      </c>
      <c r="B162" s="36" t="s">
        <v>0</v>
      </c>
      <c r="C162" s="36" t="s">
        <v>0</v>
      </c>
      <c r="D162" s="36" t="s">
        <v>0</v>
      </c>
      <c r="E162" s="36" t="s">
        <v>0</v>
      </c>
      <c r="F162" s="36" t="s">
        <v>0</v>
      </c>
      <c r="G162" s="36" t="s">
        <v>0</v>
      </c>
      <c r="H162" s="36" t="s">
        <v>0</v>
      </c>
      <c r="I162" s="36" t="s">
        <v>0</v>
      </c>
      <c r="J162" s="36" t="s">
        <v>0</v>
      </c>
      <c r="K162" s="36" t="s">
        <v>0</v>
      </c>
      <c r="L162" s="36" t="s">
        <v>0</v>
      </c>
      <c r="M162" s="32">
        <f t="shared" si="60"/>
        <v>1418388</v>
      </c>
      <c r="N162" s="32">
        <f t="shared" si="60"/>
        <v>0</v>
      </c>
      <c r="O162" s="32">
        <f t="shared" si="60"/>
        <v>0</v>
      </c>
      <c r="P162" s="33">
        <f t="shared" si="53"/>
        <v>0</v>
      </c>
    </row>
    <row r="163" spans="1:16" ht="109.2" x14ac:dyDescent="0.25">
      <c r="A163" s="18" t="s">
        <v>396</v>
      </c>
      <c r="B163" s="19" t="s">
        <v>132</v>
      </c>
      <c r="C163" s="19" t="s">
        <v>14</v>
      </c>
      <c r="D163" s="19" t="s">
        <v>132</v>
      </c>
      <c r="E163" s="19" t="s">
        <v>30</v>
      </c>
      <c r="F163" s="19" t="s">
        <v>64</v>
      </c>
      <c r="G163" s="19" t="s">
        <v>27</v>
      </c>
      <c r="H163" s="19" t="s">
        <v>235</v>
      </c>
      <c r="I163" s="19" t="s">
        <v>201</v>
      </c>
      <c r="J163" s="21" t="s">
        <v>136</v>
      </c>
      <c r="K163" s="21">
        <v>97.4</v>
      </c>
      <c r="L163" s="21">
        <v>2021</v>
      </c>
      <c r="M163" s="17">
        <v>1418388</v>
      </c>
      <c r="N163" s="17">
        <v>0</v>
      </c>
      <c r="O163" s="17">
        <v>0</v>
      </c>
      <c r="P163" s="28">
        <f t="shared" si="53"/>
        <v>0</v>
      </c>
    </row>
    <row r="164" spans="1:16" s="34" customFormat="1" ht="32.25" customHeight="1" x14ac:dyDescent="0.25">
      <c r="A164" s="29" t="s">
        <v>138</v>
      </c>
      <c r="B164" s="30" t="s">
        <v>132</v>
      </c>
      <c r="C164" s="30" t="s">
        <v>15</v>
      </c>
      <c r="D164" s="30" t="s">
        <v>0</v>
      </c>
      <c r="E164" s="30" t="s">
        <v>0</v>
      </c>
      <c r="F164" s="30" t="s">
        <v>0</v>
      </c>
      <c r="G164" s="30" t="s">
        <v>0</v>
      </c>
      <c r="H164" s="31" t="s">
        <v>0</v>
      </c>
      <c r="I164" s="31" t="s">
        <v>0</v>
      </c>
      <c r="J164" s="31" t="s">
        <v>0</v>
      </c>
      <c r="K164" s="31" t="s">
        <v>0</v>
      </c>
      <c r="L164" s="31" t="s">
        <v>0</v>
      </c>
      <c r="M164" s="32">
        <f>M165+M176</f>
        <v>1439632786.49</v>
      </c>
      <c r="N164" s="32">
        <f t="shared" ref="N164:O164" si="61">N165+N176</f>
        <v>1414749650.79</v>
      </c>
      <c r="O164" s="32">
        <f t="shared" si="61"/>
        <v>1414749650.79</v>
      </c>
      <c r="P164" s="33">
        <f t="shared" si="53"/>
        <v>0.9827156369780462</v>
      </c>
    </row>
    <row r="165" spans="1:16" s="34" customFormat="1" ht="80.099999999999994" customHeight="1" x14ac:dyDescent="0.25">
      <c r="A165" s="29" t="s">
        <v>139</v>
      </c>
      <c r="B165" s="30" t="s">
        <v>132</v>
      </c>
      <c r="C165" s="30" t="s">
        <v>15</v>
      </c>
      <c r="D165" s="30" t="s">
        <v>140</v>
      </c>
      <c r="E165" s="30" t="s">
        <v>0</v>
      </c>
      <c r="F165" s="30" t="s">
        <v>0</v>
      </c>
      <c r="G165" s="30" t="s">
        <v>0</v>
      </c>
      <c r="H165" s="31" t="s">
        <v>0</v>
      </c>
      <c r="I165" s="31" t="s">
        <v>0</v>
      </c>
      <c r="J165" s="31" t="s">
        <v>0</v>
      </c>
      <c r="K165" s="31" t="s">
        <v>0</v>
      </c>
      <c r="L165" s="31" t="s">
        <v>0</v>
      </c>
      <c r="M165" s="32">
        <f>M166</f>
        <v>103945694.09</v>
      </c>
      <c r="N165" s="32">
        <f t="shared" ref="N165:O169" si="62">N166</f>
        <v>95278895.75</v>
      </c>
      <c r="O165" s="32">
        <f t="shared" si="62"/>
        <v>95278895.75</v>
      </c>
      <c r="P165" s="33">
        <f t="shared" si="53"/>
        <v>0.9166218628306434</v>
      </c>
    </row>
    <row r="166" spans="1:16" s="34" customFormat="1" ht="32.25" customHeight="1" x14ac:dyDescent="0.25">
      <c r="A166" s="29" t="s">
        <v>29</v>
      </c>
      <c r="B166" s="30" t="s">
        <v>132</v>
      </c>
      <c r="C166" s="30" t="s">
        <v>15</v>
      </c>
      <c r="D166" s="30" t="s">
        <v>140</v>
      </c>
      <c r="E166" s="30" t="s">
        <v>30</v>
      </c>
      <c r="F166" s="30" t="s">
        <v>0</v>
      </c>
      <c r="G166" s="30" t="s">
        <v>0</v>
      </c>
      <c r="H166" s="31" t="s">
        <v>0</v>
      </c>
      <c r="I166" s="31" t="s">
        <v>0</v>
      </c>
      <c r="J166" s="31" t="s">
        <v>0</v>
      </c>
      <c r="K166" s="31" t="s">
        <v>0</v>
      </c>
      <c r="L166" s="31" t="s">
        <v>0</v>
      </c>
      <c r="M166" s="32">
        <f>M167</f>
        <v>103945694.09</v>
      </c>
      <c r="N166" s="32">
        <f t="shared" si="62"/>
        <v>95278895.75</v>
      </c>
      <c r="O166" s="32">
        <f t="shared" si="62"/>
        <v>95278895.75</v>
      </c>
      <c r="P166" s="33">
        <f t="shared" si="53"/>
        <v>0.9166218628306434</v>
      </c>
    </row>
    <row r="167" spans="1:16" s="34" customFormat="1" ht="15" customHeight="1" x14ac:dyDescent="0.25">
      <c r="A167" s="35" t="s">
        <v>44</v>
      </c>
      <c r="B167" s="30" t="s">
        <v>132</v>
      </c>
      <c r="C167" s="30" t="s">
        <v>15</v>
      </c>
      <c r="D167" s="30" t="s">
        <v>140</v>
      </c>
      <c r="E167" s="30" t="s">
        <v>30</v>
      </c>
      <c r="F167" s="30" t="s">
        <v>45</v>
      </c>
      <c r="G167" s="30" t="s">
        <v>0</v>
      </c>
      <c r="H167" s="30" t="s">
        <v>0</v>
      </c>
      <c r="I167" s="30" t="s">
        <v>0</v>
      </c>
      <c r="J167" s="30" t="s">
        <v>0</v>
      </c>
      <c r="K167" s="30" t="s">
        <v>0</v>
      </c>
      <c r="L167" s="30" t="s">
        <v>0</v>
      </c>
      <c r="M167" s="32">
        <f>M168</f>
        <v>103945694.09</v>
      </c>
      <c r="N167" s="32">
        <f t="shared" si="62"/>
        <v>95278895.75</v>
      </c>
      <c r="O167" s="32">
        <f t="shared" si="62"/>
        <v>95278895.75</v>
      </c>
      <c r="P167" s="33">
        <f t="shared" si="53"/>
        <v>0.9166218628306434</v>
      </c>
    </row>
    <row r="168" spans="1:16" s="34" customFormat="1" ht="32.25" customHeight="1" x14ac:dyDescent="0.25">
      <c r="A168" s="35" t="s">
        <v>46</v>
      </c>
      <c r="B168" s="30" t="s">
        <v>132</v>
      </c>
      <c r="C168" s="30" t="s">
        <v>15</v>
      </c>
      <c r="D168" s="30" t="s">
        <v>140</v>
      </c>
      <c r="E168" s="30" t="s">
        <v>30</v>
      </c>
      <c r="F168" s="30" t="s">
        <v>45</v>
      </c>
      <c r="G168" s="30" t="s">
        <v>47</v>
      </c>
      <c r="H168" s="30" t="s">
        <v>0</v>
      </c>
      <c r="I168" s="30" t="s">
        <v>0</v>
      </c>
      <c r="J168" s="30" t="s">
        <v>0</v>
      </c>
      <c r="K168" s="30" t="s">
        <v>0</v>
      </c>
      <c r="L168" s="30" t="s">
        <v>0</v>
      </c>
      <c r="M168" s="32">
        <f>M169</f>
        <v>103945694.09</v>
      </c>
      <c r="N168" s="32">
        <f t="shared" si="62"/>
        <v>95278895.75</v>
      </c>
      <c r="O168" s="32">
        <f t="shared" si="62"/>
        <v>95278895.75</v>
      </c>
      <c r="P168" s="33">
        <f t="shared" si="53"/>
        <v>0.9166218628306434</v>
      </c>
    </row>
    <row r="169" spans="1:16" s="34" customFormat="1" ht="48.9" customHeight="1" x14ac:dyDescent="0.25">
      <c r="A169" s="29" t="s">
        <v>287</v>
      </c>
      <c r="B169" s="30" t="s">
        <v>132</v>
      </c>
      <c r="C169" s="30" t="s">
        <v>15</v>
      </c>
      <c r="D169" s="30" t="s">
        <v>140</v>
      </c>
      <c r="E169" s="30" t="s">
        <v>30</v>
      </c>
      <c r="F169" s="30" t="s">
        <v>45</v>
      </c>
      <c r="G169" s="30" t="s">
        <v>47</v>
      </c>
      <c r="H169" s="30" t="s">
        <v>288</v>
      </c>
      <c r="I169" s="31" t="s">
        <v>0</v>
      </c>
      <c r="J169" s="31" t="s">
        <v>0</v>
      </c>
      <c r="K169" s="31" t="s">
        <v>0</v>
      </c>
      <c r="L169" s="31" t="s">
        <v>0</v>
      </c>
      <c r="M169" s="32">
        <f>M170</f>
        <v>103945694.09</v>
      </c>
      <c r="N169" s="32">
        <f t="shared" si="62"/>
        <v>95278895.75</v>
      </c>
      <c r="O169" s="32">
        <f t="shared" si="62"/>
        <v>95278895.75</v>
      </c>
      <c r="P169" s="33">
        <f t="shared" si="53"/>
        <v>0.9166218628306434</v>
      </c>
    </row>
    <row r="170" spans="1:16" s="34" customFormat="1" ht="64.5" customHeight="1" x14ac:dyDescent="0.25">
      <c r="A170" s="29" t="s">
        <v>200</v>
      </c>
      <c r="B170" s="30" t="s">
        <v>132</v>
      </c>
      <c r="C170" s="30" t="s">
        <v>15</v>
      </c>
      <c r="D170" s="30" t="s">
        <v>140</v>
      </c>
      <c r="E170" s="30" t="s">
        <v>30</v>
      </c>
      <c r="F170" s="30" t="s">
        <v>45</v>
      </c>
      <c r="G170" s="30" t="s">
        <v>47</v>
      </c>
      <c r="H170" s="30" t="s">
        <v>288</v>
      </c>
      <c r="I170" s="30" t="s">
        <v>201</v>
      </c>
      <c r="J170" s="30" t="s">
        <v>0</v>
      </c>
      <c r="K170" s="30" t="s">
        <v>0</v>
      </c>
      <c r="L170" s="30" t="s">
        <v>0</v>
      </c>
      <c r="M170" s="32">
        <f>M171+M174</f>
        <v>103945694.09</v>
      </c>
      <c r="N170" s="32">
        <f t="shared" ref="N170:O170" si="63">N171+N174</f>
        <v>95278895.75</v>
      </c>
      <c r="O170" s="32">
        <f t="shared" si="63"/>
        <v>95278895.75</v>
      </c>
      <c r="P170" s="33">
        <f t="shared" si="53"/>
        <v>0.9166218628306434</v>
      </c>
    </row>
    <row r="171" spans="1:16" s="34" customFormat="1" ht="30" customHeight="1" x14ac:dyDescent="0.25">
      <c r="A171" s="29" t="s">
        <v>332</v>
      </c>
      <c r="B171" s="36" t="s">
        <v>0</v>
      </c>
      <c r="C171" s="36" t="s">
        <v>0</v>
      </c>
      <c r="D171" s="36" t="s">
        <v>0</v>
      </c>
      <c r="E171" s="36" t="s">
        <v>0</v>
      </c>
      <c r="F171" s="36" t="s">
        <v>0</v>
      </c>
      <c r="G171" s="36" t="s">
        <v>0</v>
      </c>
      <c r="H171" s="36" t="s">
        <v>0</v>
      </c>
      <c r="I171" s="36" t="s">
        <v>0</v>
      </c>
      <c r="J171" s="36" t="s">
        <v>0</v>
      </c>
      <c r="K171" s="36" t="s">
        <v>0</v>
      </c>
      <c r="L171" s="36" t="s">
        <v>0</v>
      </c>
      <c r="M171" s="32">
        <f>M172+M173</f>
        <v>33341937.130000003</v>
      </c>
      <c r="N171" s="32">
        <f t="shared" ref="N171:O171" si="64">N172+N173</f>
        <v>24675138.789999999</v>
      </c>
      <c r="O171" s="32">
        <f t="shared" si="64"/>
        <v>24675138.789999999</v>
      </c>
      <c r="P171" s="33">
        <f t="shared" si="53"/>
        <v>0.74006314311588406</v>
      </c>
    </row>
    <row r="172" spans="1:16" ht="78" x14ac:dyDescent="0.25">
      <c r="A172" s="18" t="s">
        <v>349</v>
      </c>
      <c r="B172" s="19" t="s">
        <v>132</v>
      </c>
      <c r="C172" s="19" t="s">
        <v>15</v>
      </c>
      <c r="D172" s="19" t="s">
        <v>140</v>
      </c>
      <c r="E172" s="19" t="s">
        <v>30</v>
      </c>
      <c r="F172" s="19" t="s">
        <v>45</v>
      </c>
      <c r="G172" s="19" t="s">
        <v>47</v>
      </c>
      <c r="H172" s="19" t="s">
        <v>288</v>
      </c>
      <c r="I172" s="19" t="s">
        <v>201</v>
      </c>
      <c r="J172" s="21" t="s">
        <v>51</v>
      </c>
      <c r="K172" s="21"/>
      <c r="L172" s="21">
        <v>2020</v>
      </c>
      <c r="M172" s="17">
        <v>16272923.85</v>
      </c>
      <c r="N172" s="17">
        <v>16272923.83</v>
      </c>
      <c r="O172" s="17">
        <v>16272923.83</v>
      </c>
      <c r="P172" s="28">
        <f t="shared" si="53"/>
        <v>0.99999999877096457</v>
      </c>
    </row>
    <row r="173" spans="1:16" ht="78" x14ac:dyDescent="0.25">
      <c r="A173" s="18" t="s">
        <v>350</v>
      </c>
      <c r="B173" s="19" t="s">
        <v>132</v>
      </c>
      <c r="C173" s="19" t="s">
        <v>15</v>
      </c>
      <c r="D173" s="19" t="s">
        <v>140</v>
      </c>
      <c r="E173" s="19" t="s">
        <v>30</v>
      </c>
      <c r="F173" s="19" t="s">
        <v>45</v>
      </c>
      <c r="G173" s="19" t="s">
        <v>47</v>
      </c>
      <c r="H173" s="19" t="s">
        <v>288</v>
      </c>
      <c r="I173" s="19" t="s">
        <v>201</v>
      </c>
      <c r="J173" s="21" t="s">
        <v>51</v>
      </c>
      <c r="K173" s="21" t="s">
        <v>351</v>
      </c>
      <c r="L173" s="21">
        <v>2020</v>
      </c>
      <c r="M173" s="17">
        <v>17069013.280000001</v>
      </c>
      <c r="N173" s="17">
        <v>8402214.9600000009</v>
      </c>
      <c r="O173" s="17">
        <v>8402214.9600000009</v>
      </c>
      <c r="P173" s="28">
        <f t="shared" si="53"/>
        <v>0.49224960003077578</v>
      </c>
    </row>
    <row r="174" spans="1:16" s="34" customFormat="1" ht="30" customHeight="1" x14ac:dyDescent="0.25">
      <c r="A174" s="29" t="s">
        <v>269</v>
      </c>
      <c r="B174" s="36" t="s">
        <v>0</v>
      </c>
      <c r="C174" s="36" t="s">
        <v>0</v>
      </c>
      <c r="D174" s="36" t="s">
        <v>0</v>
      </c>
      <c r="E174" s="36" t="s">
        <v>0</v>
      </c>
      <c r="F174" s="36" t="s">
        <v>0</v>
      </c>
      <c r="G174" s="36" t="s">
        <v>0</v>
      </c>
      <c r="H174" s="36" t="s">
        <v>0</v>
      </c>
      <c r="I174" s="36" t="s">
        <v>0</v>
      </c>
      <c r="J174" s="36" t="s">
        <v>0</v>
      </c>
      <c r="K174" s="36" t="s">
        <v>0</v>
      </c>
      <c r="L174" s="36" t="s">
        <v>0</v>
      </c>
      <c r="M174" s="32">
        <f>M175</f>
        <v>70603756.959999993</v>
      </c>
      <c r="N174" s="32">
        <f t="shared" ref="N174:O174" si="65">N175</f>
        <v>70603756.959999993</v>
      </c>
      <c r="O174" s="32">
        <f t="shared" si="65"/>
        <v>70603756.959999993</v>
      </c>
      <c r="P174" s="33">
        <f t="shared" si="53"/>
        <v>1</v>
      </c>
    </row>
    <row r="175" spans="1:16" ht="64.5" customHeight="1" x14ac:dyDescent="0.25">
      <c r="A175" s="18" t="s">
        <v>292</v>
      </c>
      <c r="B175" s="19" t="s">
        <v>132</v>
      </c>
      <c r="C175" s="19" t="s">
        <v>15</v>
      </c>
      <c r="D175" s="19" t="s">
        <v>140</v>
      </c>
      <c r="E175" s="19" t="s">
        <v>30</v>
      </c>
      <c r="F175" s="19" t="s">
        <v>45</v>
      </c>
      <c r="G175" s="19" t="s">
        <v>47</v>
      </c>
      <c r="H175" s="19" t="s">
        <v>288</v>
      </c>
      <c r="I175" s="19" t="s">
        <v>201</v>
      </c>
      <c r="J175" s="21" t="s">
        <v>51</v>
      </c>
      <c r="K175" s="21">
        <v>5.5419999999999998</v>
      </c>
      <c r="L175" s="21" t="s">
        <v>53</v>
      </c>
      <c r="M175" s="17">
        <f>84522544.85-11790732.85-2128055.04</f>
        <v>70603756.959999993</v>
      </c>
      <c r="N175" s="17">
        <v>70603756.959999993</v>
      </c>
      <c r="O175" s="17">
        <v>70603756.959999993</v>
      </c>
      <c r="P175" s="28">
        <f t="shared" si="53"/>
        <v>1</v>
      </c>
    </row>
    <row r="176" spans="1:16" s="34" customFormat="1" ht="15.6" x14ac:dyDescent="0.25">
      <c r="A176" s="29" t="s">
        <v>345</v>
      </c>
      <c r="B176" s="30" t="s">
        <v>132</v>
      </c>
      <c r="C176" s="30" t="s">
        <v>15</v>
      </c>
      <c r="D176" s="30" t="s">
        <v>344</v>
      </c>
      <c r="E176" s="30" t="s">
        <v>0</v>
      </c>
      <c r="F176" s="30" t="s">
        <v>0</v>
      </c>
      <c r="G176" s="30" t="s">
        <v>0</v>
      </c>
      <c r="H176" s="31" t="s">
        <v>0</v>
      </c>
      <c r="I176" s="31" t="s">
        <v>0</v>
      </c>
      <c r="J176" s="31" t="s">
        <v>0</v>
      </c>
      <c r="K176" s="31" t="s">
        <v>0</v>
      </c>
      <c r="L176" s="31" t="s">
        <v>0</v>
      </c>
      <c r="M176" s="32">
        <f t="shared" ref="M176:O181" si="66">M177</f>
        <v>1335687092.4000001</v>
      </c>
      <c r="N176" s="32">
        <f t="shared" si="66"/>
        <v>1319470755.04</v>
      </c>
      <c r="O176" s="32">
        <f t="shared" si="66"/>
        <v>1319470755.04</v>
      </c>
      <c r="P176" s="33">
        <f t="shared" si="53"/>
        <v>0.98785917940491419</v>
      </c>
    </row>
    <row r="177" spans="1:16" s="34" customFormat="1" ht="32.25" customHeight="1" x14ac:dyDescent="0.25">
      <c r="A177" s="29" t="s">
        <v>29</v>
      </c>
      <c r="B177" s="30" t="s">
        <v>132</v>
      </c>
      <c r="C177" s="30" t="s">
        <v>15</v>
      </c>
      <c r="D177" s="30" t="s">
        <v>344</v>
      </c>
      <c r="E177" s="30" t="s">
        <v>30</v>
      </c>
      <c r="F177" s="30" t="s">
        <v>0</v>
      </c>
      <c r="G177" s="30" t="s">
        <v>0</v>
      </c>
      <c r="H177" s="31" t="s">
        <v>0</v>
      </c>
      <c r="I177" s="31" t="s">
        <v>0</v>
      </c>
      <c r="J177" s="31" t="s">
        <v>0</v>
      </c>
      <c r="K177" s="31" t="s">
        <v>0</v>
      </c>
      <c r="L177" s="31" t="s">
        <v>0</v>
      </c>
      <c r="M177" s="32">
        <f t="shared" si="66"/>
        <v>1335687092.4000001</v>
      </c>
      <c r="N177" s="32">
        <f t="shared" si="66"/>
        <v>1319470755.04</v>
      </c>
      <c r="O177" s="32">
        <f t="shared" si="66"/>
        <v>1319470755.04</v>
      </c>
      <c r="P177" s="33">
        <f t="shared" si="53"/>
        <v>0.98785917940491419</v>
      </c>
    </row>
    <row r="178" spans="1:16" s="34" customFormat="1" ht="15" customHeight="1" x14ac:dyDescent="0.25">
      <c r="A178" s="35" t="s">
        <v>44</v>
      </c>
      <c r="B178" s="30" t="s">
        <v>132</v>
      </c>
      <c r="C178" s="30" t="s">
        <v>15</v>
      </c>
      <c r="D178" s="30" t="s">
        <v>344</v>
      </c>
      <c r="E178" s="30" t="s">
        <v>30</v>
      </c>
      <c r="F178" s="30" t="s">
        <v>45</v>
      </c>
      <c r="G178" s="30" t="s">
        <v>0</v>
      </c>
      <c r="H178" s="30" t="s">
        <v>0</v>
      </c>
      <c r="I178" s="30" t="s">
        <v>0</v>
      </c>
      <c r="J178" s="30" t="s">
        <v>0</v>
      </c>
      <c r="K178" s="30" t="s">
        <v>0</v>
      </c>
      <c r="L178" s="30" t="s">
        <v>0</v>
      </c>
      <c r="M178" s="32">
        <f t="shared" si="66"/>
        <v>1335687092.4000001</v>
      </c>
      <c r="N178" s="32">
        <f t="shared" si="66"/>
        <v>1319470755.04</v>
      </c>
      <c r="O178" s="32">
        <f t="shared" si="66"/>
        <v>1319470755.04</v>
      </c>
      <c r="P178" s="33">
        <f t="shared" si="53"/>
        <v>0.98785917940491419</v>
      </c>
    </row>
    <row r="179" spans="1:16" s="34" customFormat="1" ht="32.25" customHeight="1" x14ac:dyDescent="0.25">
      <c r="A179" s="35" t="s">
        <v>46</v>
      </c>
      <c r="B179" s="30" t="s">
        <v>132</v>
      </c>
      <c r="C179" s="30" t="s">
        <v>15</v>
      </c>
      <c r="D179" s="30" t="s">
        <v>344</v>
      </c>
      <c r="E179" s="30" t="s">
        <v>30</v>
      </c>
      <c r="F179" s="30" t="s">
        <v>45</v>
      </c>
      <c r="G179" s="30" t="s">
        <v>47</v>
      </c>
      <c r="H179" s="30" t="s">
        <v>0</v>
      </c>
      <c r="I179" s="30" t="s">
        <v>0</v>
      </c>
      <c r="J179" s="30" t="s">
        <v>0</v>
      </c>
      <c r="K179" s="30" t="s">
        <v>0</v>
      </c>
      <c r="L179" s="30" t="s">
        <v>0</v>
      </c>
      <c r="M179" s="32">
        <f>M180+M186</f>
        <v>1335687092.4000001</v>
      </c>
      <c r="N179" s="32">
        <f t="shared" ref="N179:O179" si="67">N180+N186</f>
        <v>1319470755.04</v>
      </c>
      <c r="O179" s="32">
        <f t="shared" si="67"/>
        <v>1319470755.04</v>
      </c>
      <c r="P179" s="33">
        <f t="shared" si="53"/>
        <v>0.98785917940491419</v>
      </c>
    </row>
    <row r="180" spans="1:16" s="34" customFormat="1" ht="62.4" x14ac:dyDescent="0.25">
      <c r="A180" s="29" t="s">
        <v>346</v>
      </c>
      <c r="B180" s="30" t="s">
        <v>132</v>
      </c>
      <c r="C180" s="30" t="s">
        <v>15</v>
      </c>
      <c r="D180" s="30" t="s">
        <v>344</v>
      </c>
      <c r="E180" s="30" t="s">
        <v>30</v>
      </c>
      <c r="F180" s="30" t="s">
        <v>45</v>
      </c>
      <c r="G180" s="30" t="s">
        <v>47</v>
      </c>
      <c r="H180" s="30">
        <v>53930</v>
      </c>
      <c r="I180" s="31" t="s">
        <v>0</v>
      </c>
      <c r="J180" s="31" t="s">
        <v>0</v>
      </c>
      <c r="K180" s="31" t="s">
        <v>0</v>
      </c>
      <c r="L180" s="31" t="s">
        <v>0</v>
      </c>
      <c r="M180" s="32">
        <f t="shared" si="66"/>
        <v>566687092.39999998</v>
      </c>
      <c r="N180" s="32">
        <f t="shared" si="66"/>
        <v>550470755.03999996</v>
      </c>
      <c r="O180" s="32">
        <f t="shared" si="66"/>
        <v>550470755.03999996</v>
      </c>
      <c r="P180" s="33">
        <f t="shared" si="53"/>
        <v>0.97138396554733308</v>
      </c>
    </row>
    <row r="181" spans="1:16" s="34" customFormat="1" ht="15.6" x14ac:dyDescent="0.25">
      <c r="A181" s="29" t="s">
        <v>347</v>
      </c>
      <c r="B181" s="30" t="s">
        <v>132</v>
      </c>
      <c r="C181" s="30" t="s">
        <v>15</v>
      </c>
      <c r="D181" s="30" t="s">
        <v>344</v>
      </c>
      <c r="E181" s="30" t="s">
        <v>30</v>
      </c>
      <c r="F181" s="30" t="s">
        <v>45</v>
      </c>
      <c r="G181" s="30" t="s">
        <v>47</v>
      </c>
      <c r="H181" s="30">
        <v>53930</v>
      </c>
      <c r="I181" s="30">
        <v>540</v>
      </c>
      <c r="J181" s="30" t="s">
        <v>0</v>
      </c>
      <c r="K181" s="30" t="s">
        <v>0</v>
      </c>
      <c r="L181" s="30" t="s">
        <v>0</v>
      </c>
      <c r="M181" s="32">
        <f t="shared" si="66"/>
        <v>566687092.39999998</v>
      </c>
      <c r="N181" s="32">
        <f t="shared" si="66"/>
        <v>550470755.03999996</v>
      </c>
      <c r="O181" s="32">
        <f t="shared" si="66"/>
        <v>550470755.03999996</v>
      </c>
      <c r="P181" s="33">
        <f t="shared" si="53"/>
        <v>0.97138396554733308</v>
      </c>
    </row>
    <row r="182" spans="1:16" s="34" customFormat="1" ht="30" customHeight="1" x14ac:dyDescent="0.25">
      <c r="A182" s="29" t="s">
        <v>332</v>
      </c>
      <c r="B182" s="36" t="s">
        <v>0</v>
      </c>
      <c r="C182" s="36" t="s">
        <v>0</v>
      </c>
      <c r="D182" s="36" t="s">
        <v>0</v>
      </c>
      <c r="E182" s="36" t="s">
        <v>0</v>
      </c>
      <c r="F182" s="36" t="s">
        <v>0</v>
      </c>
      <c r="G182" s="36" t="s">
        <v>0</v>
      </c>
      <c r="H182" s="36" t="s">
        <v>0</v>
      </c>
      <c r="I182" s="36" t="s">
        <v>0</v>
      </c>
      <c r="J182" s="36" t="s">
        <v>0</v>
      </c>
      <c r="K182" s="36" t="s">
        <v>0</v>
      </c>
      <c r="L182" s="36" t="s">
        <v>0</v>
      </c>
      <c r="M182" s="32">
        <f>M183+M184+M185</f>
        <v>566687092.39999998</v>
      </c>
      <c r="N182" s="32">
        <f t="shared" ref="N182:O182" si="68">N183+N184+N185</f>
        <v>550470755.03999996</v>
      </c>
      <c r="O182" s="32">
        <f t="shared" si="68"/>
        <v>550470755.03999996</v>
      </c>
      <c r="P182" s="33">
        <f t="shared" si="53"/>
        <v>0.97138396554733308</v>
      </c>
    </row>
    <row r="183" spans="1:16" ht="48.9" customHeight="1" x14ac:dyDescent="0.25">
      <c r="A183" s="18" t="s">
        <v>289</v>
      </c>
      <c r="B183" s="19" t="s">
        <v>132</v>
      </c>
      <c r="C183" s="19" t="s">
        <v>15</v>
      </c>
      <c r="D183" s="19" t="s">
        <v>344</v>
      </c>
      <c r="E183" s="19" t="s">
        <v>30</v>
      </c>
      <c r="F183" s="19" t="s">
        <v>45</v>
      </c>
      <c r="G183" s="19" t="s">
        <v>47</v>
      </c>
      <c r="H183" s="19">
        <v>53930</v>
      </c>
      <c r="I183" s="19">
        <v>540</v>
      </c>
      <c r="J183" s="21" t="s">
        <v>51</v>
      </c>
      <c r="K183" s="21">
        <v>0.55000000000000004</v>
      </c>
      <c r="L183" s="21">
        <v>2020</v>
      </c>
      <c r="M183" s="17">
        <f>4324400+336675752+6182729.73-6182729.73-5571131.66</f>
        <v>335429020.33999997</v>
      </c>
      <c r="N183" s="17">
        <v>335429020.33999997</v>
      </c>
      <c r="O183" s="17">
        <v>335429020.33999997</v>
      </c>
      <c r="P183" s="28">
        <f t="shared" si="53"/>
        <v>1</v>
      </c>
    </row>
    <row r="184" spans="1:16" ht="64.5" customHeight="1" x14ac:dyDescent="0.25">
      <c r="A184" s="18" t="s">
        <v>290</v>
      </c>
      <c r="B184" s="19" t="s">
        <v>132</v>
      </c>
      <c r="C184" s="19" t="s">
        <v>15</v>
      </c>
      <c r="D184" s="19" t="s">
        <v>344</v>
      </c>
      <c r="E184" s="19" t="s">
        <v>30</v>
      </c>
      <c r="F184" s="19" t="s">
        <v>45</v>
      </c>
      <c r="G184" s="19" t="s">
        <v>47</v>
      </c>
      <c r="H184" s="19">
        <v>53930</v>
      </c>
      <c r="I184" s="19">
        <v>540</v>
      </c>
      <c r="J184" s="21" t="s">
        <v>51</v>
      </c>
      <c r="K184" s="21" t="s">
        <v>291</v>
      </c>
      <c r="L184" s="21">
        <v>2021</v>
      </c>
      <c r="M184" s="17">
        <f>188456219.46+153324248-6182729.73-115065605.05-12561579.64</f>
        <v>207970553.04000002</v>
      </c>
      <c r="N184" s="17">
        <v>207970553.03999999</v>
      </c>
      <c r="O184" s="17">
        <v>207970553.03999999</v>
      </c>
      <c r="P184" s="28">
        <f t="shared" si="53"/>
        <v>0.99999999999999989</v>
      </c>
    </row>
    <row r="185" spans="1:16" ht="64.5" customHeight="1" x14ac:dyDescent="0.25">
      <c r="A185" s="18" t="s">
        <v>348</v>
      </c>
      <c r="B185" s="19" t="s">
        <v>132</v>
      </c>
      <c r="C185" s="19" t="s">
        <v>15</v>
      </c>
      <c r="D185" s="19" t="s">
        <v>344</v>
      </c>
      <c r="E185" s="19" t="s">
        <v>30</v>
      </c>
      <c r="F185" s="19" t="s">
        <v>45</v>
      </c>
      <c r="G185" s="19" t="s">
        <v>47</v>
      </c>
      <c r="H185" s="19">
        <v>53930</v>
      </c>
      <c r="I185" s="19">
        <v>540</v>
      </c>
      <c r="J185" s="21" t="s">
        <v>51</v>
      </c>
      <c r="K185" s="21">
        <v>3.7080000000000002</v>
      </c>
      <c r="L185" s="21">
        <v>2022</v>
      </c>
      <c r="M185" s="17">
        <f>50000000-32283612.64+5571131.66</f>
        <v>23287519.02</v>
      </c>
      <c r="N185" s="17">
        <v>7071181.6600000001</v>
      </c>
      <c r="O185" s="17">
        <v>7071181.6600000001</v>
      </c>
      <c r="P185" s="28">
        <f t="shared" si="53"/>
        <v>0.30364684421415022</v>
      </c>
    </row>
    <row r="186" spans="1:16" s="34" customFormat="1" ht="62.4" x14ac:dyDescent="0.25">
      <c r="A186" s="29" t="s">
        <v>392</v>
      </c>
      <c r="B186" s="30" t="s">
        <v>132</v>
      </c>
      <c r="C186" s="30" t="s">
        <v>15</v>
      </c>
      <c r="D186" s="30" t="s">
        <v>344</v>
      </c>
      <c r="E186" s="30" t="s">
        <v>30</v>
      </c>
      <c r="F186" s="30" t="s">
        <v>45</v>
      </c>
      <c r="G186" s="30" t="s">
        <v>47</v>
      </c>
      <c r="H186" s="30">
        <v>58560</v>
      </c>
      <c r="I186" s="31" t="s">
        <v>0</v>
      </c>
      <c r="J186" s="31" t="s">
        <v>0</v>
      </c>
      <c r="K186" s="31" t="s">
        <v>0</v>
      </c>
      <c r="L186" s="31" t="s">
        <v>0</v>
      </c>
      <c r="M186" s="32">
        <f t="shared" ref="M186:O187" si="69">M187</f>
        <v>769000000</v>
      </c>
      <c r="N186" s="32">
        <f t="shared" si="69"/>
        <v>769000000</v>
      </c>
      <c r="O186" s="32">
        <f t="shared" si="69"/>
        <v>769000000</v>
      </c>
      <c r="P186" s="33">
        <f t="shared" si="53"/>
        <v>1</v>
      </c>
    </row>
    <row r="187" spans="1:16" s="34" customFormat="1" ht="15.6" x14ac:dyDescent="0.25">
      <c r="A187" s="29" t="s">
        <v>347</v>
      </c>
      <c r="B187" s="30" t="s">
        <v>132</v>
      </c>
      <c r="C187" s="30" t="s">
        <v>15</v>
      </c>
      <c r="D187" s="30" t="s">
        <v>344</v>
      </c>
      <c r="E187" s="30" t="s">
        <v>30</v>
      </c>
      <c r="F187" s="30" t="s">
        <v>45</v>
      </c>
      <c r="G187" s="30" t="s">
        <v>47</v>
      </c>
      <c r="H187" s="30">
        <v>58560</v>
      </c>
      <c r="I187" s="30">
        <v>540</v>
      </c>
      <c r="J187" s="30" t="s">
        <v>0</v>
      </c>
      <c r="K187" s="30" t="s">
        <v>0</v>
      </c>
      <c r="L187" s="30" t="s">
        <v>0</v>
      </c>
      <c r="M187" s="32">
        <f>M188</f>
        <v>769000000</v>
      </c>
      <c r="N187" s="32">
        <f t="shared" si="69"/>
        <v>769000000</v>
      </c>
      <c r="O187" s="32">
        <f t="shared" si="69"/>
        <v>769000000</v>
      </c>
      <c r="P187" s="33">
        <f t="shared" si="53"/>
        <v>1</v>
      </c>
    </row>
    <row r="188" spans="1:16" s="34" customFormat="1" ht="30" customHeight="1" x14ac:dyDescent="0.25">
      <c r="A188" s="29" t="s">
        <v>332</v>
      </c>
      <c r="B188" s="36" t="s">
        <v>0</v>
      </c>
      <c r="C188" s="36" t="s">
        <v>0</v>
      </c>
      <c r="D188" s="36" t="s">
        <v>0</v>
      </c>
      <c r="E188" s="36" t="s">
        <v>0</v>
      </c>
      <c r="F188" s="36" t="s">
        <v>0</v>
      </c>
      <c r="G188" s="36" t="s">
        <v>0</v>
      </c>
      <c r="H188" s="36" t="s">
        <v>0</v>
      </c>
      <c r="I188" s="36" t="s">
        <v>0</v>
      </c>
      <c r="J188" s="36" t="s">
        <v>0</v>
      </c>
      <c r="K188" s="36" t="s">
        <v>0</v>
      </c>
      <c r="L188" s="36" t="s">
        <v>0</v>
      </c>
      <c r="M188" s="32">
        <f>M189+M190</f>
        <v>769000000</v>
      </c>
      <c r="N188" s="32">
        <f t="shared" ref="N188:O188" si="70">N189+N190</f>
        <v>769000000</v>
      </c>
      <c r="O188" s="32">
        <f t="shared" si="70"/>
        <v>769000000</v>
      </c>
      <c r="P188" s="33">
        <f t="shared" si="53"/>
        <v>1</v>
      </c>
    </row>
    <row r="189" spans="1:16" ht="64.5" customHeight="1" x14ac:dyDescent="0.25">
      <c r="A189" s="18" t="s">
        <v>290</v>
      </c>
      <c r="B189" s="19" t="s">
        <v>132</v>
      </c>
      <c r="C189" s="19" t="s">
        <v>15</v>
      </c>
      <c r="D189" s="19" t="s">
        <v>344</v>
      </c>
      <c r="E189" s="19" t="s">
        <v>30</v>
      </c>
      <c r="F189" s="19" t="s">
        <v>45</v>
      </c>
      <c r="G189" s="19" t="s">
        <v>47</v>
      </c>
      <c r="H189" s="19">
        <v>58560</v>
      </c>
      <c r="I189" s="19">
        <v>540</v>
      </c>
      <c r="J189" s="21" t="s">
        <v>51</v>
      </c>
      <c r="K189" s="21" t="s">
        <v>291</v>
      </c>
      <c r="L189" s="21">
        <v>2021</v>
      </c>
      <c r="M189" s="17">
        <v>269884152.37</v>
      </c>
      <c r="N189" s="17">
        <v>269884152.37</v>
      </c>
      <c r="O189" s="17">
        <v>269884152.37</v>
      </c>
      <c r="P189" s="28">
        <f t="shared" si="53"/>
        <v>1</v>
      </c>
    </row>
    <row r="190" spans="1:16" ht="64.5" customHeight="1" x14ac:dyDescent="0.25">
      <c r="A190" s="18" t="s">
        <v>348</v>
      </c>
      <c r="B190" s="19" t="s">
        <v>132</v>
      </c>
      <c r="C190" s="19" t="s">
        <v>15</v>
      </c>
      <c r="D190" s="19" t="s">
        <v>344</v>
      </c>
      <c r="E190" s="19" t="s">
        <v>30</v>
      </c>
      <c r="F190" s="19" t="s">
        <v>45</v>
      </c>
      <c r="G190" s="19" t="s">
        <v>47</v>
      </c>
      <c r="H190" s="19">
        <v>58560</v>
      </c>
      <c r="I190" s="19">
        <v>540</v>
      </c>
      <c r="J190" s="21" t="s">
        <v>51</v>
      </c>
      <c r="K190" s="21">
        <v>3.7080000000000002</v>
      </c>
      <c r="L190" s="21">
        <v>2022</v>
      </c>
      <c r="M190" s="17">
        <v>499115847.63</v>
      </c>
      <c r="N190" s="17">
        <v>499115847.63</v>
      </c>
      <c r="O190" s="17">
        <v>499115847.63</v>
      </c>
      <c r="P190" s="28">
        <f t="shared" si="53"/>
        <v>1</v>
      </c>
    </row>
    <row r="191" spans="1:16" s="34" customFormat="1" ht="48.9" customHeight="1" x14ac:dyDescent="0.25">
      <c r="A191" s="29" t="s">
        <v>293</v>
      </c>
      <c r="B191" s="30" t="s">
        <v>132</v>
      </c>
      <c r="C191" s="30" t="s">
        <v>16</v>
      </c>
      <c r="D191" s="30" t="s">
        <v>0</v>
      </c>
      <c r="E191" s="30" t="s">
        <v>0</v>
      </c>
      <c r="F191" s="30" t="s">
        <v>0</v>
      </c>
      <c r="G191" s="30" t="s">
        <v>0</v>
      </c>
      <c r="H191" s="31" t="s">
        <v>0</v>
      </c>
      <c r="I191" s="31" t="s">
        <v>0</v>
      </c>
      <c r="J191" s="31" t="s">
        <v>0</v>
      </c>
      <c r="K191" s="31" t="s">
        <v>0</v>
      </c>
      <c r="L191" s="31" t="s">
        <v>0</v>
      </c>
      <c r="M191" s="32">
        <f t="shared" ref="M191:O202" si="71">M192</f>
        <v>257537434.52000001</v>
      </c>
      <c r="N191" s="32">
        <f t="shared" si="71"/>
        <v>257537434.51999998</v>
      </c>
      <c r="O191" s="32">
        <f t="shared" si="71"/>
        <v>257537434.51999998</v>
      </c>
      <c r="P191" s="33">
        <f t="shared" si="53"/>
        <v>0.99999999999999989</v>
      </c>
    </row>
    <row r="192" spans="1:16" s="34" customFormat="1" ht="15" customHeight="1" x14ac:dyDescent="0.25">
      <c r="A192" s="29" t="s">
        <v>294</v>
      </c>
      <c r="B192" s="30" t="s">
        <v>132</v>
      </c>
      <c r="C192" s="30" t="s">
        <v>16</v>
      </c>
      <c r="D192" s="30" t="s">
        <v>295</v>
      </c>
      <c r="E192" s="30" t="s">
        <v>0</v>
      </c>
      <c r="F192" s="30" t="s">
        <v>0</v>
      </c>
      <c r="G192" s="30" t="s">
        <v>0</v>
      </c>
      <c r="H192" s="31" t="s">
        <v>0</v>
      </c>
      <c r="I192" s="31" t="s">
        <v>0</v>
      </c>
      <c r="J192" s="31" t="s">
        <v>0</v>
      </c>
      <c r="K192" s="31" t="s">
        <v>0</v>
      </c>
      <c r="L192" s="31" t="s">
        <v>0</v>
      </c>
      <c r="M192" s="32">
        <f t="shared" si="71"/>
        <v>257537434.52000001</v>
      </c>
      <c r="N192" s="32">
        <f t="shared" si="71"/>
        <v>257537434.51999998</v>
      </c>
      <c r="O192" s="32">
        <f t="shared" si="71"/>
        <v>257537434.51999998</v>
      </c>
      <c r="P192" s="33">
        <f t="shared" si="53"/>
        <v>0.99999999999999989</v>
      </c>
    </row>
    <row r="193" spans="1:16" s="34" customFormat="1" ht="32.25" customHeight="1" x14ac:dyDescent="0.25">
      <c r="A193" s="29" t="s">
        <v>29</v>
      </c>
      <c r="B193" s="30" t="s">
        <v>132</v>
      </c>
      <c r="C193" s="30" t="s">
        <v>16</v>
      </c>
      <c r="D193" s="30" t="s">
        <v>295</v>
      </c>
      <c r="E193" s="30" t="s">
        <v>30</v>
      </c>
      <c r="F193" s="30" t="s">
        <v>0</v>
      </c>
      <c r="G193" s="30" t="s">
        <v>0</v>
      </c>
      <c r="H193" s="31" t="s">
        <v>0</v>
      </c>
      <c r="I193" s="31" t="s">
        <v>0</v>
      </c>
      <c r="J193" s="31" t="s">
        <v>0</v>
      </c>
      <c r="K193" s="31" t="s">
        <v>0</v>
      </c>
      <c r="L193" s="31" t="s">
        <v>0</v>
      </c>
      <c r="M193" s="32">
        <f t="shared" si="71"/>
        <v>257537434.52000001</v>
      </c>
      <c r="N193" s="32">
        <f t="shared" si="71"/>
        <v>257537434.51999998</v>
      </c>
      <c r="O193" s="32">
        <f t="shared" si="71"/>
        <v>257537434.51999998</v>
      </c>
      <c r="P193" s="33">
        <f t="shared" si="53"/>
        <v>0.99999999999999989</v>
      </c>
    </row>
    <row r="194" spans="1:16" s="34" customFormat="1" ht="15" customHeight="1" x14ac:dyDescent="0.25">
      <c r="A194" s="35" t="s">
        <v>44</v>
      </c>
      <c r="B194" s="30" t="s">
        <v>132</v>
      </c>
      <c r="C194" s="30" t="s">
        <v>16</v>
      </c>
      <c r="D194" s="30" t="s">
        <v>295</v>
      </c>
      <c r="E194" s="30" t="s">
        <v>30</v>
      </c>
      <c r="F194" s="30" t="s">
        <v>45</v>
      </c>
      <c r="G194" s="30" t="s">
        <v>0</v>
      </c>
      <c r="H194" s="30" t="s">
        <v>0</v>
      </c>
      <c r="I194" s="30" t="s">
        <v>0</v>
      </c>
      <c r="J194" s="30" t="s">
        <v>0</v>
      </c>
      <c r="K194" s="30" t="s">
        <v>0</v>
      </c>
      <c r="L194" s="30" t="s">
        <v>0</v>
      </c>
      <c r="M194" s="32">
        <f t="shared" si="71"/>
        <v>257537434.52000001</v>
      </c>
      <c r="N194" s="32">
        <f t="shared" si="71"/>
        <v>257537434.51999998</v>
      </c>
      <c r="O194" s="32">
        <f t="shared" si="71"/>
        <v>257537434.51999998</v>
      </c>
      <c r="P194" s="33">
        <f t="shared" si="53"/>
        <v>0.99999999999999989</v>
      </c>
    </row>
    <row r="195" spans="1:16" s="34" customFormat="1" ht="32.25" customHeight="1" x14ac:dyDescent="0.25">
      <c r="A195" s="35" t="s">
        <v>46</v>
      </c>
      <c r="B195" s="30" t="s">
        <v>132</v>
      </c>
      <c r="C195" s="30" t="s">
        <v>16</v>
      </c>
      <c r="D195" s="30" t="s">
        <v>295</v>
      </c>
      <c r="E195" s="30" t="s">
        <v>30</v>
      </c>
      <c r="F195" s="30" t="s">
        <v>45</v>
      </c>
      <c r="G195" s="30" t="s">
        <v>47</v>
      </c>
      <c r="H195" s="30" t="s">
        <v>0</v>
      </c>
      <c r="I195" s="30" t="s">
        <v>0</v>
      </c>
      <c r="J195" s="30" t="s">
        <v>0</v>
      </c>
      <c r="K195" s="30" t="s">
        <v>0</v>
      </c>
      <c r="L195" s="30" t="s">
        <v>0</v>
      </c>
      <c r="M195" s="32">
        <f>M196+M200</f>
        <v>257537434.52000001</v>
      </c>
      <c r="N195" s="32">
        <f t="shared" ref="N195:O195" si="72">N196+N200</f>
        <v>257537434.51999998</v>
      </c>
      <c r="O195" s="32">
        <f t="shared" si="72"/>
        <v>257537434.51999998</v>
      </c>
      <c r="P195" s="33">
        <f t="shared" si="53"/>
        <v>0.99999999999999989</v>
      </c>
    </row>
    <row r="196" spans="1:16" s="34" customFormat="1" ht="48.9" customHeight="1" x14ac:dyDescent="0.25">
      <c r="A196" s="29" t="s">
        <v>393</v>
      </c>
      <c r="B196" s="30" t="s">
        <v>132</v>
      </c>
      <c r="C196" s="30" t="s">
        <v>16</v>
      </c>
      <c r="D196" s="30" t="s">
        <v>295</v>
      </c>
      <c r="E196" s="30" t="s">
        <v>30</v>
      </c>
      <c r="F196" s="30" t="s">
        <v>45</v>
      </c>
      <c r="G196" s="30" t="s">
        <v>47</v>
      </c>
      <c r="H196" s="30">
        <v>50210</v>
      </c>
      <c r="I196" s="31" t="s">
        <v>0</v>
      </c>
      <c r="J196" s="31" t="s">
        <v>0</v>
      </c>
      <c r="K196" s="31" t="s">
        <v>0</v>
      </c>
      <c r="L196" s="31" t="s">
        <v>0</v>
      </c>
      <c r="M196" s="32">
        <f t="shared" si="71"/>
        <v>195251456.26000002</v>
      </c>
      <c r="N196" s="32">
        <f t="shared" si="71"/>
        <v>195251456.25999999</v>
      </c>
      <c r="O196" s="32">
        <f t="shared" si="71"/>
        <v>195251456.25999999</v>
      </c>
      <c r="P196" s="33">
        <f t="shared" si="53"/>
        <v>0.99999999999999989</v>
      </c>
    </row>
    <row r="197" spans="1:16" s="34" customFormat="1" ht="64.5" customHeight="1" x14ac:dyDescent="0.25">
      <c r="A197" s="29" t="s">
        <v>200</v>
      </c>
      <c r="B197" s="30" t="s">
        <v>132</v>
      </c>
      <c r="C197" s="30" t="s">
        <v>16</v>
      </c>
      <c r="D197" s="30" t="s">
        <v>295</v>
      </c>
      <c r="E197" s="30" t="s">
        <v>30</v>
      </c>
      <c r="F197" s="30" t="s">
        <v>45</v>
      </c>
      <c r="G197" s="30" t="s">
        <v>47</v>
      </c>
      <c r="H197" s="30">
        <v>50210</v>
      </c>
      <c r="I197" s="30" t="s">
        <v>201</v>
      </c>
      <c r="J197" s="30" t="s">
        <v>0</v>
      </c>
      <c r="K197" s="30" t="s">
        <v>0</v>
      </c>
      <c r="L197" s="30" t="s">
        <v>0</v>
      </c>
      <c r="M197" s="32">
        <f t="shared" si="71"/>
        <v>195251456.26000002</v>
      </c>
      <c r="N197" s="32">
        <f t="shared" si="71"/>
        <v>195251456.25999999</v>
      </c>
      <c r="O197" s="32">
        <f t="shared" si="71"/>
        <v>195251456.25999999</v>
      </c>
      <c r="P197" s="33">
        <f t="shared" si="53"/>
        <v>0.99999999999999989</v>
      </c>
    </row>
    <row r="198" spans="1:16" s="34" customFormat="1" ht="30" customHeight="1" x14ac:dyDescent="0.25">
      <c r="A198" s="29" t="s">
        <v>332</v>
      </c>
      <c r="B198" s="36" t="s">
        <v>0</v>
      </c>
      <c r="C198" s="36" t="s">
        <v>0</v>
      </c>
      <c r="D198" s="36" t="s">
        <v>0</v>
      </c>
      <c r="E198" s="36" t="s">
        <v>0</v>
      </c>
      <c r="F198" s="36" t="s">
        <v>0</v>
      </c>
      <c r="G198" s="36" t="s">
        <v>0</v>
      </c>
      <c r="H198" s="36"/>
      <c r="I198" s="36" t="s">
        <v>0</v>
      </c>
      <c r="J198" s="36" t="s">
        <v>0</v>
      </c>
      <c r="K198" s="36" t="s">
        <v>0</v>
      </c>
      <c r="L198" s="36" t="s">
        <v>0</v>
      </c>
      <c r="M198" s="32">
        <f t="shared" si="71"/>
        <v>195251456.26000002</v>
      </c>
      <c r="N198" s="32">
        <f t="shared" si="71"/>
        <v>195251456.25999999</v>
      </c>
      <c r="O198" s="32">
        <f t="shared" si="71"/>
        <v>195251456.25999999</v>
      </c>
      <c r="P198" s="33">
        <f t="shared" si="53"/>
        <v>0.99999999999999989</v>
      </c>
    </row>
    <row r="199" spans="1:16" ht="64.5" customHeight="1" x14ac:dyDescent="0.25">
      <c r="A199" s="18" t="s">
        <v>296</v>
      </c>
      <c r="B199" s="19" t="s">
        <v>132</v>
      </c>
      <c r="C199" s="19" t="s">
        <v>16</v>
      </c>
      <c r="D199" s="19" t="s">
        <v>295</v>
      </c>
      <c r="E199" s="19" t="s">
        <v>30</v>
      </c>
      <c r="F199" s="19" t="s">
        <v>45</v>
      </c>
      <c r="G199" s="19" t="s">
        <v>47</v>
      </c>
      <c r="H199" s="19">
        <v>50210</v>
      </c>
      <c r="I199" s="19" t="s">
        <v>201</v>
      </c>
      <c r="J199" s="21" t="s">
        <v>51</v>
      </c>
      <c r="K199" s="21" t="s">
        <v>297</v>
      </c>
      <c r="L199" s="21" t="s">
        <v>79</v>
      </c>
      <c r="M199" s="17">
        <f>346254853.92-151003440.88+43.22</f>
        <v>195251456.26000002</v>
      </c>
      <c r="N199" s="17">
        <v>195251456.25999999</v>
      </c>
      <c r="O199" s="17">
        <v>195251456.25999999</v>
      </c>
      <c r="P199" s="28">
        <f t="shared" ref="P199:P240" si="73">O199/M199</f>
        <v>0.99999999999999989</v>
      </c>
    </row>
    <row r="200" spans="1:16" s="34" customFormat="1" ht="78" x14ac:dyDescent="0.25">
      <c r="A200" s="29" t="s">
        <v>401</v>
      </c>
      <c r="B200" s="30" t="s">
        <v>132</v>
      </c>
      <c r="C200" s="30" t="s">
        <v>16</v>
      </c>
      <c r="D200" s="30" t="s">
        <v>295</v>
      </c>
      <c r="E200" s="30" t="s">
        <v>30</v>
      </c>
      <c r="F200" s="30" t="s">
        <v>45</v>
      </c>
      <c r="G200" s="30" t="s">
        <v>47</v>
      </c>
      <c r="H200" s="30" t="s">
        <v>391</v>
      </c>
      <c r="I200" s="31" t="s">
        <v>0</v>
      </c>
      <c r="J200" s="31" t="s">
        <v>0</v>
      </c>
      <c r="K200" s="31" t="s">
        <v>0</v>
      </c>
      <c r="L200" s="31" t="s">
        <v>0</v>
      </c>
      <c r="M200" s="32">
        <f t="shared" si="71"/>
        <v>62285978.259999998</v>
      </c>
      <c r="N200" s="32">
        <f t="shared" si="71"/>
        <v>62285978.259999998</v>
      </c>
      <c r="O200" s="32">
        <f t="shared" si="71"/>
        <v>62285978.259999998</v>
      </c>
      <c r="P200" s="33">
        <f t="shared" si="73"/>
        <v>1</v>
      </c>
    </row>
    <row r="201" spans="1:16" s="34" customFormat="1" ht="64.5" customHeight="1" x14ac:dyDescent="0.25">
      <c r="A201" s="29" t="s">
        <v>200</v>
      </c>
      <c r="B201" s="30" t="s">
        <v>132</v>
      </c>
      <c r="C201" s="30" t="s">
        <v>16</v>
      </c>
      <c r="D201" s="30" t="s">
        <v>295</v>
      </c>
      <c r="E201" s="30" t="s">
        <v>30</v>
      </c>
      <c r="F201" s="30" t="s">
        <v>45</v>
      </c>
      <c r="G201" s="30" t="s">
        <v>47</v>
      </c>
      <c r="H201" s="30" t="s">
        <v>391</v>
      </c>
      <c r="I201" s="30" t="s">
        <v>201</v>
      </c>
      <c r="J201" s="30" t="s">
        <v>0</v>
      </c>
      <c r="K201" s="30" t="s">
        <v>0</v>
      </c>
      <c r="L201" s="30" t="s">
        <v>0</v>
      </c>
      <c r="M201" s="32">
        <f t="shared" si="71"/>
        <v>62285978.259999998</v>
      </c>
      <c r="N201" s="32">
        <f t="shared" si="71"/>
        <v>62285978.259999998</v>
      </c>
      <c r="O201" s="32">
        <f t="shared" si="71"/>
        <v>62285978.259999998</v>
      </c>
      <c r="P201" s="33">
        <f t="shared" si="73"/>
        <v>1</v>
      </c>
    </row>
    <row r="202" spans="1:16" s="34" customFormat="1" ht="30" customHeight="1" x14ac:dyDescent="0.25">
      <c r="A202" s="29" t="s">
        <v>332</v>
      </c>
      <c r="B202" s="36" t="s">
        <v>0</v>
      </c>
      <c r="C202" s="36" t="s">
        <v>0</v>
      </c>
      <c r="D202" s="36" t="s">
        <v>0</v>
      </c>
      <c r="E202" s="36" t="s">
        <v>0</v>
      </c>
      <c r="F202" s="36" t="s">
        <v>0</v>
      </c>
      <c r="G202" s="36" t="s">
        <v>0</v>
      </c>
      <c r="H202" s="36"/>
      <c r="I202" s="36" t="s">
        <v>0</v>
      </c>
      <c r="J202" s="36" t="s">
        <v>0</v>
      </c>
      <c r="K202" s="36" t="s">
        <v>0</v>
      </c>
      <c r="L202" s="36" t="s">
        <v>0</v>
      </c>
      <c r="M202" s="32">
        <f t="shared" si="71"/>
        <v>62285978.259999998</v>
      </c>
      <c r="N202" s="32">
        <f t="shared" si="71"/>
        <v>62285978.259999998</v>
      </c>
      <c r="O202" s="32">
        <f t="shared" si="71"/>
        <v>62285978.259999998</v>
      </c>
      <c r="P202" s="33">
        <f t="shared" si="73"/>
        <v>1</v>
      </c>
    </row>
    <row r="203" spans="1:16" ht="64.5" customHeight="1" x14ac:dyDescent="0.25">
      <c r="A203" s="18" t="s">
        <v>296</v>
      </c>
      <c r="B203" s="19" t="s">
        <v>132</v>
      </c>
      <c r="C203" s="19" t="s">
        <v>16</v>
      </c>
      <c r="D203" s="19" t="s">
        <v>295</v>
      </c>
      <c r="E203" s="19" t="s">
        <v>30</v>
      </c>
      <c r="F203" s="19" t="s">
        <v>45</v>
      </c>
      <c r="G203" s="19" t="s">
        <v>47</v>
      </c>
      <c r="H203" s="19" t="s">
        <v>391</v>
      </c>
      <c r="I203" s="19" t="s">
        <v>201</v>
      </c>
      <c r="J203" s="21" t="s">
        <v>51</v>
      </c>
      <c r="K203" s="21" t="s">
        <v>297</v>
      </c>
      <c r="L203" s="21" t="s">
        <v>79</v>
      </c>
      <c r="M203" s="17">
        <v>62285978.259999998</v>
      </c>
      <c r="N203" s="17">
        <v>62285978.259999998</v>
      </c>
      <c r="O203" s="17">
        <v>62285978.259999998</v>
      </c>
      <c r="P203" s="28">
        <f t="shared" si="73"/>
        <v>1</v>
      </c>
    </row>
    <row r="204" spans="1:16" s="34" customFormat="1" ht="80.099999999999994" customHeight="1" x14ac:dyDescent="0.25">
      <c r="A204" s="29" t="s">
        <v>298</v>
      </c>
      <c r="B204" s="30" t="s">
        <v>299</v>
      </c>
      <c r="C204" s="30" t="s">
        <v>0</v>
      </c>
      <c r="D204" s="30" t="s">
        <v>0</v>
      </c>
      <c r="E204" s="30" t="s">
        <v>0</v>
      </c>
      <c r="F204" s="30" t="s">
        <v>0</v>
      </c>
      <c r="G204" s="30" t="s">
        <v>0</v>
      </c>
      <c r="H204" s="31" t="s">
        <v>0</v>
      </c>
      <c r="I204" s="31" t="s">
        <v>0</v>
      </c>
      <c r="J204" s="31" t="s">
        <v>0</v>
      </c>
      <c r="K204" s="31" t="s">
        <v>0</v>
      </c>
      <c r="L204" s="31" t="s">
        <v>0</v>
      </c>
      <c r="M204" s="32">
        <f t="shared" ref="M204:O213" si="74">M205</f>
        <v>472847915.87999994</v>
      </c>
      <c r="N204" s="32">
        <f t="shared" si="74"/>
        <v>393865402.19</v>
      </c>
      <c r="O204" s="32">
        <f t="shared" si="74"/>
        <v>393865402.19</v>
      </c>
      <c r="P204" s="33">
        <f t="shared" si="73"/>
        <v>0.83296423429717681</v>
      </c>
    </row>
    <row r="205" spans="1:16" s="34" customFormat="1" ht="32.25" customHeight="1" x14ac:dyDescent="0.25">
      <c r="A205" s="29" t="s">
        <v>300</v>
      </c>
      <c r="B205" s="30" t="s">
        <v>299</v>
      </c>
      <c r="C205" s="30" t="s">
        <v>28</v>
      </c>
      <c r="D205" s="30" t="s">
        <v>301</v>
      </c>
      <c r="E205" s="30" t="s">
        <v>0</v>
      </c>
      <c r="F205" s="30" t="s">
        <v>0</v>
      </c>
      <c r="G205" s="30" t="s">
        <v>0</v>
      </c>
      <c r="H205" s="31" t="s">
        <v>0</v>
      </c>
      <c r="I205" s="31" t="s">
        <v>0</v>
      </c>
      <c r="J205" s="31" t="s">
        <v>0</v>
      </c>
      <c r="K205" s="31" t="s">
        <v>0</v>
      </c>
      <c r="L205" s="31" t="s">
        <v>0</v>
      </c>
      <c r="M205" s="32">
        <f t="shared" si="74"/>
        <v>472847915.87999994</v>
      </c>
      <c r="N205" s="32">
        <f t="shared" si="74"/>
        <v>393865402.19</v>
      </c>
      <c r="O205" s="32">
        <f t="shared" si="74"/>
        <v>393865402.19</v>
      </c>
      <c r="P205" s="33">
        <f t="shared" si="73"/>
        <v>0.83296423429717681</v>
      </c>
    </row>
    <row r="206" spans="1:16" s="34" customFormat="1" ht="32.25" customHeight="1" x14ac:dyDescent="0.25">
      <c r="A206" s="29" t="s">
        <v>29</v>
      </c>
      <c r="B206" s="30" t="s">
        <v>299</v>
      </c>
      <c r="C206" s="30" t="s">
        <v>28</v>
      </c>
      <c r="D206" s="30" t="s">
        <v>301</v>
      </c>
      <c r="E206" s="30" t="s">
        <v>30</v>
      </c>
      <c r="F206" s="30" t="s">
        <v>0</v>
      </c>
      <c r="G206" s="30" t="s">
        <v>0</v>
      </c>
      <c r="H206" s="31" t="s">
        <v>0</v>
      </c>
      <c r="I206" s="31" t="s">
        <v>0</v>
      </c>
      <c r="J206" s="31" t="s">
        <v>0</v>
      </c>
      <c r="K206" s="31" t="s">
        <v>0</v>
      </c>
      <c r="L206" s="31" t="s">
        <v>0</v>
      </c>
      <c r="M206" s="32">
        <f t="shared" si="74"/>
        <v>472847915.87999994</v>
      </c>
      <c r="N206" s="32">
        <f t="shared" si="74"/>
        <v>393865402.19</v>
      </c>
      <c r="O206" s="32">
        <f t="shared" si="74"/>
        <v>393865402.19</v>
      </c>
      <c r="P206" s="33">
        <f t="shared" si="73"/>
        <v>0.83296423429717681</v>
      </c>
    </row>
    <row r="207" spans="1:16" s="34" customFormat="1" ht="15" customHeight="1" x14ac:dyDescent="0.25">
      <c r="A207" s="35" t="s">
        <v>126</v>
      </c>
      <c r="B207" s="30" t="s">
        <v>299</v>
      </c>
      <c r="C207" s="30" t="s">
        <v>28</v>
      </c>
      <c r="D207" s="30" t="s">
        <v>301</v>
      </c>
      <c r="E207" s="30" t="s">
        <v>30</v>
      </c>
      <c r="F207" s="30" t="s">
        <v>39</v>
      </c>
      <c r="G207" s="30" t="s">
        <v>0</v>
      </c>
      <c r="H207" s="30" t="s">
        <v>0</v>
      </c>
      <c r="I207" s="30" t="s">
        <v>0</v>
      </c>
      <c r="J207" s="30" t="s">
        <v>0</v>
      </c>
      <c r="K207" s="30" t="s">
        <v>0</v>
      </c>
      <c r="L207" s="30" t="s">
        <v>0</v>
      </c>
      <c r="M207" s="32">
        <f t="shared" si="74"/>
        <v>472847915.87999994</v>
      </c>
      <c r="N207" s="32">
        <f t="shared" si="74"/>
        <v>393865402.19</v>
      </c>
      <c r="O207" s="32">
        <f t="shared" si="74"/>
        <v>393865402.19</v>
      </c>
      <c r="P207" s="33">
        <f t="shared" si="73"/>
        <v>0.83296423429717681</v>
      </c>
    </row>
    <row r="208" spans="1:16" s="34" customFormat="1" ht="15" customHeight="1" x14ac:dyDescent="0.25">
      <c r="A208" s="35" t="s">
        <v>127</v>
      </c>
      <c r="B208" s="30" t="s">
        <v>299</v>
      </c>
      <c r="C208" s="30" t="s">
        <v>28</v>
      </c>
      <c r="D208" s="30" t="s">
        <v>301</v>
      </c>
      <c r="E208" s="30" t="s">
        <v>30</v>
      </c>
      <c r="F208" s="30" t="s">
        <v>39</v>
      </c>
      <c r="G208" s="30" t="s">
        <v>27</v>
      </c>
      <c r="H208" s="30" t="s">
        <v>0</v>
      </c>
      <c r="I208" s="30" t="s">
        <v>0</v>
      </c>
      <c r="J208" s="30" t="s">
        <v>0</v>
      </c>
      <c r="K208" s="30" t="s">
        <v>0</v>
      </c>
      <c r="L208" s="30" t="s">
        <v>0</v>
      </c>
      <c r="M208" s="32">
        <f t="shared" si="74"/>
        <v>472847915.87999994</v>
      </c>
      <c r="N208" s="32">
        <f t="shared" si="74"/>
        <v>393865402.19</v>
      </c>
      <c r="O208" s="32">
        <f t="shared" si="74"/>
        <v>393865402.19</v>
      </c>
      <c r="P208" s="33">
        <f t="shared" si="73"/>
        <v>0.83296423429717681</v>
      </c>
    </row>
    <row r="209" spans="1:16" s="34" customFormat="1" ht="32.25" customHeight="1" x14ac:dyDescent="0.25">
      <c r="A209" s="29" t="s">
        <v>302</v>
      </c>
      <c r="B209" s="30" t="s">
        <v>299</v>
      </c>
      <c r="C209" s="30" t="s">
        <v>28</v>
      </c>
      <c r="D209" s="30" t="s">
        <v>301</v>
      </c>
      <c r="E209" s="30" t="s">
        <v>30</v>
      </c>
      <c r="F209" s="30" t="s">
        <v>39</v>
      </c>
      <c r="G209" s="30" t="s">
        <v>27</v>
      </c>
      <c r="H209" s="30" t="s">
        <v>303</v>
      </c>
      <c r="I209" s="31" t="s">
        <v>0</v>
      </c>
      <c r="J209" s="31" t="s">
        <v>0</v>
      </c>
      <c r="K209" s="31" t="s">
        <v>0</v>
      </c>
      <c r="L209" s="31" t="s">
        <v>0</v>
      </c>
      <c r="M209" s="32">
        <f t="shared" si="74"/>
        <v>472847915.87999994</v>
      </c>
      <c r="N209" s="32">
        <f t="shared" si="74"/>
        <v>393865402.19</v>
      </c>
      <c r="O209" s="32">
        <f t="shared" si="74"/>
        <v>393865402.19</v>
      </c>
      <c r="P209" s="33">
        <f t="shared" si="73"/>
        <v>0.83296423429717681</v>
      </c>
    </row>
    <row r="210" spans="1:16" s="34" customFormat="1" ht="64.5" customHeight="1" x14ac:dyDescent="0.25">
      <c r="A210" s="29" t="s">
        <v>200</v>
      </c>
      <c r="B210" s="30" t="s">
        <v>299</v>
      </c>
      <c r="C210" s="30" t="s">
        <v>28</v>
      </c>
      <c r="D210" s="30" t="s">
        <v>301</v>
      </c>
      <c r="E210" s="30" t="s">
        <v>30</v>
      </c>
      <c r="F210" s="30" t="s">
        <v>39</v>
      </c>
      <c r="G210" s="30" t="s">
        <v>27</v>
      </c>
      <c r="H210" s="30" t="s">
        <v>303</v>
      </c>
      <c r="I210" s="30" t="s">
        <v>201</v>
      </c>
      <c r="J210" s="30" t="s">
        <v>0</v>
      </c>
      <c r="K210" s="30" t="s">
        <v>0</v>
      </c>
      <c r="L210" s="30" t="s">
        <v>0</v>
      </c>
      <c r="M210" s="32">
        <f>M211+M213</f>
        <v>472847915.87999994</v>
      </c>
      <c r="N210" s="32">
        <f t="shared" ref="N210:O210" si="75">N211+N213</f>
        <v>393865402.19</v>
      </c>
      <c r="O210" s="32">
        <f t="shared" si="75"/>
        <v>393865402.19</v>
      </c>
      <c r="P210" s="33">
        <f t="shared" si="73"/>
        <v>0.83296423429717681</v>
      </c>
    </row>
    <row r="211" spans="1:16" s="34" customFormat="1" ht="30" customHeight="1" x14ac:dyDescent="0.25">
      <c r="A211" s="29" t="s">
        <v>332</v>
      </c>
      <c r="B211" s="36" t="s">
        <v>0</v>
      </c>
      <c r="C211" s="36" t="s">
        <v>0</v>
      </c>
      <c r="D211" s="36" t="s">
        <v>0</v>
      </c>
      <c r="E211" s="36" t="s">
        <v>0</v>
      </c>
      <c r="F211" s="36" t="s">
        <v>0</v>
      </c>
      <c r="G211" s="36" t="s">
        <v>0</v>
      </c>
      <c r="H211" s="36" t="s">
        <v>0</v>
      </c>
      <c r="I211" s="36" t="s">
        <v>0</v>
      </c>
      <c r="J211" s="36" t="s">
        <v>0</v>
      </c>
      <c r="K211" s="36" t="s">
        <v>0</v>
      </c>
      <c r="L211" s="36" t="s">
        <v>0</v>
      </c>
      <c r="M211" s="32">
        <f t="shared" si="74"/>
        <v>393501702.79999995</v>
      </c>
      <c r="N211" s="32">
        <f t="shared" si="74"/>
        <v>393501702.80000001</v>
      </c>
      <c r="O211" s="32">
        <f t="shared" si="74"/>
        <v>393501702.80000001</v>
      </c>
      <c r="P211" s="33">
        <f t="shared" si="73"/>
        <v>1.0000000000000002</v>
      </c>
    </row>
    <row r="212" spans="1:16" ht="48.9" customHeight="1" x14ac:dyDescent="0.25">
      <c r="A212" s="18" t="s">
        <v>304</v>
      </c>
      <c r="B212" s="19" t="s">
        <v>299</v>
      </c>
      <c r="C212" s="19" t="s">
        <v>28</v>
      </c>
      <c r="D212" s="19" t="s">
        <v>301</v>
      </c>
      <c r="E212" s="19" t="s">
        <v>30</v>
      </c>
      <c r="F212" s="19" t="s">
        <v>39</v>
      </c>
      <c r="G212" s="19" t="s">
        <v>27</v>
      </c>
      <c r="H212" s="19" t="s">
        <v>303</v>
      </c>
      <c r="I212" s="19" t="s">
        <v>201</v>
      </c>
      <c r="J212" s="21" t="s">
        <v>248</v>
      </c>
      <c r="K212" s="21" t="s">
        <v>305</v>
      </c>
      <c r="L212" s="21" t="s">
        <v>53</v>
      </c>
      <c r="M212" s="17">
        <f>425247934.78-31746231.98</f>
        <v>393501702.79999995</v>
      </c>
      <c r="N212" s="17">
        <v>393501702.80000001</v>
      </c>
      <c r="O212" s="17">
        <v>393501702.80000001</v>
      </c>
      <c r="P212" s="28">
        <f t="shared" si="73"/>
        <v>1.0000000000000002</v>
      </c>
    </row>
    <row r="213" spans="1:16" s="34" customFormat="1" ht="30" customHeight="1" x14ac:dyDescent="0.25">
      <c r="A213" s="29" t="s">
        <v>253</v>
      </c>
      <c r="B213" s="36" t="s">
        <v>0</v>
      </c>
      <c r="C213" s="36" t="s">
        <v>0</v>
      </c>
      <c r="D213" s="36" t="s">
        <v>0</v>
      </c>
      <c r="E213" s="36" t="s">
        <v>0</v>
      </c>
      <c r="F213" s="36" t="s">
        <v>0</v>
      </c>
      <c r="G213" s="36" t="s">
        <v>0</v>
      </c>
      <c r="H213" s="36" t="s">
        <v>0</v>
      </c>
      <c r="I213" s="36" t="s">
        <v>0</v>
      </c>
      <c r="J213" s="36" t="s">
        <v>0</v>
      </c>
      <c r="K213" s="36" t="s">
        <v>0</v>
      </c>
      <c r="L213" s="36" t="s">
        <v>0</v>
      </c>
      <c r="M213" s="32">
        <f t="shared" si="74"/>
        <v>79346213.079999998</v>
      </c>
      <c r="N213" s="32">
        <f t="shared" si="74"/>
        <v>363699.39</v>
      </c>
      <c r="O213" s="32">
        <f t="shared" si="74"/>
        <v>363699.39</v>
      </c>
      <c r="P213" s="33">
        <f t="shared" si="73"/>
        <v>4.5837019295842619E-3</v>
      </c>
    </row>
    <row r="214" spans="1:16" ht="15.6" x14ac:dyDescent="0.25">
      <c r="A214" s="18" t="s">
        <v>394</v>
      </c>
      <c r="B214" s="19" t="s">
        <v>299</v>
      </c>
      <c r="C214" s="19" t="s">
        <v>28</v>
      </c>
      <c r="D214" s="19" t="s">
        <v>301</v>
      </c>
      <c r="E214" s="19" t="s">
        <v>30</v>
      </c>
      <c r="F214" s="19" t="s">
        <v>39</v>
      </c>
      <c r="G214" s="19" t="s">
        <v>27</v>
      </c>
      <c r="H214" s="19" t="s">
        <v>303</v>
      </c>
      <c r="I214" s="19" t="s">
        <v>201</v>
      </c>
      <c r="J214" s="21" t="s">
        <v>248</v>
      </c>
      <c r="K214" s="21">
        <v>131</v>
      </c>
      <c r="L214" s="21">
        <v>2021</v>
      </c>
      <c r="M214" s="17">
        <v>79346213.079999998</v>
      </c>
      <c r="N214" s="17">
        <v>363699.39</v>
      </c>
      <c r="O214" s="17">
        <v>363699.39</v>
      </c>
      <c r="P214" s="28">
        <f t="shared" si="73"/>
        <v>4.5837019295842619E-3</v>
      </c>
    </row>
    <row r="215" spans="1:16" s="34" customFormat="1" ht="32.25" customHeight="1" x14ac:dyDescent="0.25">
      <c r="A215" s="29" t="s">
        <v>145</v>
      </c>
      <c r="B215" s="30" t="s">
        <v>146</v>
      </c>
      <c r="C215" s="30" t="s">
        <v>0</v>
      </c>
      <c r="D215" s="30" t="s">
        <v>0</v>
      </c>
      <c r="E215" s="30" t="s">
        <v>0</v>
      </c>
      <c r="F215" s="30" t="s">
        <v>0</v>
      </c>
      <c r="G215" s="30" t="s">
        <v>0</v>
      </c>
      <c r="H215" s="31" t="s">
        <v>0</v>
      </c>
      <c r="I215" s="31" t="s">
        <v>0</v>
      </c>
      <c r="J215" s="31" t="s">
        <v>0</v>
      </c>
      <c r="K215" s="31" t="s">
        <v>0</v>
      </c>
      <c r="L215" s="31" t="s">
        <v>0</v>
      </c>
      <c r="M215" s="32">
        <f t="shared" ref="M215:O220" si="76">M216</f>
        <v>1215833269.96</v>
      </c>
      <c r="N215" s="32">
        <f t="shared" si="76"/>
        <v>989041478.30999994</v>
      </c>
      <c r="O215" s="32">
        <f t="shared" si="76"/>
        <v>989041478.30999994</v>
      </c>
      <c r="P215" s="33">
        <f t="shared" si="73"/>
        <v>0.81346801633626842</v>
      </c>
    </row>
    <row r="216" spans="1:16" s="34" customFormat="1" ht="32.25" customHeight="1" x14ac:dyDescent="0.25">
      <c r="A216" s="29" t="s">
        <v>147</v>
      </c>
      <c r="B216" s="30" t="s">
        <v>146</v>
      </c>
      <c r="C216" s="30" t="s">
        <v>28</v>
      </c>
      <c r="D216" s="30" t="s">
        <v>70</v>
      </c>
      <c r="E216" s="30" t="s">
        <v>0</v>
      </c>
      <c r="F216" s="30" t="s">
        <v>0</v>
      </c>
      <c r="G216" s="30" t="s">
        <v>0</v>
      </c>
      <c r="H216" s="31" t="s">
        <v>0</v>
      </c>
      <c r="I216" s="31" t="s">
        <v>0</v>
      </c>
      <c r="J216" s="31" t="s">
        <v>0</v>
      </c>
      <c r="K216" s="31" t="s">
        <v>0</v>
      </c>
      <c r="L216" s="31" t="s">
        <v>0</v>
      </c>
      <c r="M216" s="32">
        <f t="shared" si="76"/>
        <v>1215833269.96</v>
      </c>
      <c r="N216" s="32">
        <f t="shared" si="76"/>
        <v>989041478.30999994</v>
      </c>
      <c r="O216" s="32">
        <f t="shared" si="76"/>
        <v>989041478.30999994</v>
      </c>
      <c r="P216" s="33">
        <f t="shared" si="73"/>
        <v>0.81346801633626842</v>
      </c>
    </row>
    <row r="217" spans="1:16" s="34" customFormat="1" ht="32.25" customHeight="1" x14ac:dyDescent="0.25">
      <c r="A217" s="29" t="s">
        <v>29</v>
      </c>
      <c r="B217" s="30" t="s">
        <v>146</v>
      </c>
      <c r="C217" s="30" t="s">
        <v>28</v>
      </c>
      <c r="D217" s="30" t="s">
        <v>70</v>
      </c>
      <c r="E217" s="30" t="s">
        <v>30</v>
      </c>
      <c r="F217" s="30" t="s">
        <v>0</v>
      </c>
      <c r="G217" s="30" t="s">
        <v>0</v>
      </c>
      <c r="H217" s="31" t="s">
        <v>0</v>
      </c>
      <c r="I217" s="31" t="s">
        <v>0</v>
      </c>
      <c r="J217" s="31" t="s">
        <v>0</v>
      </c>
      <c r="K217" s="31" t="s">
        <v>0</v>
      </c>
      <c r="L217" s="31" t="s">
        <v>0</v>
      </c>
      <c r="M217" s="32">
        <f t="shared" si="76"/>
        <v>1215833269.96</v>
      </c>
      <c r="N217" s="32">
        <f t="shared" si="76"/>
        <v>989041478.30999994</v>
      </c>
      <c r="O217" s="32">
        <f t="shared" si="76"/>
        <v>989041478.30999994</v>
      </c>
      <c r="P217" s="33">
        <f t="shared" si="73"/>
        <v>0.81346801633626842</v>
      </c>
    </row>
    <row r="218" spans="1:16" s="34" customFormat="1" ht="15" customHeight="1" x14ac:dyDescent="0.25">
      <c r="A218" s="35" t="s">
        <v>148</v>
      </c>
      <c r="B218" s="30" t="s">
        <v>146</v>
      </c>
      <c r="C218" s="30" t="s">
        <v>28</v>
      </c>
      <c r="D218" s="30" t="s">
        <v>70</v>
      </c>
      <c r="E218" s="30" t="s">
        <v>30</v>
      </c>
      <c r="F218" s="30" t="s">
        <v>23</v>
      </c>
      <c r="G218" s="30" t="s">
        <v>0</v>
      </c>
      <c r="H218" s="30" t="s">
        <v>0</v>
      </c>
      <c r="I218" s="30" t="s">
        <v>0</v>
      </c>
      <c r="J218" s="30" t="s">
        <v>0</v>
      </c>
      <c r="K218" s="30" t="s">
        <v>0</v>
      </c>
      <c r="L218" s="30" t="s">
        <v>0</v>
      </c>
      <c r="M218" s="32">
        <f t="shared" si="76"/>
        <v>1215833269.96</v>
      </c>
      <c r="N218" s="32">
        <f t="shared" si="76"/>
        <v>989041478.30999994</v>
      </c>
      <c r="O218" s="32">
        <f t="shared" si="76"/>
        <v>989041478.30999994</v>
      </c>
      <c r="P218" s="33">
        <f t="shared" si="73"/>
        <v>0.81346801633626842</v>
      </c>
    </row>
    <row r="219" spans="1:16" s="34" customFormat="1" ht="15" customHeight="1" x14ac:dyDescent="0.25">
      <c r="A219" s="35" t="s">
        <v>149</v>
      </c>
      <c r="B219" s="30" t="s">
        <v>146</v>
      </c>
      <c r="C219" s="30" t="s">
        <v>28</v>
      </c>
      <c r="D219" s="30" t="s">
        <v>70</v>
      </c>
      <c r="E219" s="30" t="s">
        <v>30</v>
      </c>
      <c r="F219" s="30" t="s">
        <v>23</v>
      </c>
      <c r="G219" s="30" t="s">
        <v>27</v>
      </c>
      <c r="H219" s="30" t="s">
        <v>0</v>
      </c>
      <c r="I219" s="30" t="s">
        <v>0</v>
      </c>
      <c r="J219" s="30" t="s">
        <v>0</v>
      </c>
      <c r="K219" s="30" t="s">
        <v>0</v>
      </c>
      <c r="L219" s="30" t="s">
        <v>0</v>
      </c>
      <c r="M219" s="32">
        <f t="shared" si="76"/>
        <v>1215833269.96</v>
      </c>
      <c r="N219" s="32">
        <f t="shared" si="76"/>
        <v>989041478.30999994</v>
      </c>
      <c r="O219" s="32">
        <f t="shared" si="76"/>
        <v>989041478.30999994</v>
      </c>
      <c r="P219" s="33">
        <f t="shared" si="73"/>
        <v>0.81346801633626842</v>
      </c>
    </row>
    <row r="220" spans="1:16" s="34" customFormat="1" ht="48.9" customHeight="1" x14ac:dyDescent="0.25">
      <c r="A220" s="29" t="s">
        <v>234</v>
      </c>
      <c r="B220" s="30" t="s">
        <v>146</v>
      </c>
      <c r="C220" s="30" t="s">
        <v>28</v>
      </c>
      <c r="D220" s="30" t="s">
        <v>70</v>
      </c>
      <c r="E220" s="30" t="s">
        <v>30</v>
      </c>
      <c r="F220" s="30" t="s">
        <v>23</v>
      </c>
      <c r="G220" s="30" t="s">
        <v>27</v>
      </c>
      <c r="H220" s="30" t="s">
        <v>235</v>
      </c>
      <c r="I220" s="31" t="s">
        <v>0</v>
      </c>
      <c r="J220" s="31" t="s">
        <v>0</v>
      </c>
      <c r="K220" s="31" t="s">
        <v>0</v>
      </c>
      <c r="L220" s="31" t="s">
        <v>0</v>
      </c>
      <c r="M220" s="32">
        <f t="shared" si="76"/>
        <v>1215833269.96</v>
      </c>
      <c r="N220" s="32">
        <f t="shared" si="76"/>
        <v>989041478.30999994</v>
      </c>
      <c r="O220" s="32">
        <f t="shared" si="76"/>
        <v>989041478.30999994</v>
      </c>
      <c r="P220" s="33">
        <f t="shared" si="73"/>
        <v>0.81346801633626842</v>
      </c>
    </row>
    <row r="221" spans="1:16" s="34" customFormat="1" ht="64.5" customHeight="1" x14ac:dyDescent="0.25">
      <c r="A221" s="29" t="s">
        <v>200</v>
      </c>
      <c r="B221" s="30" t="s">
        <v>146</v>
      </c>
      <c r="C221" s="30" t="s">
        <v>28</v>
      </c>
      <c r="D221" s="30" t="s">
        <v>70</v>
      </c>
      <c r="E221" s="30" t="s">
        <v>30</v>
      </c>
      <c r="F221" s="30" t="s">
        <v>23</v>
      </c>
      <c r="G221" s="30" t="s">
        <v>27</v>
      </c>
      <c r="H221" s="30" t="s">
        <v>235</v>
      </c>
      <c r="I221" s="30" t="s">
        <v>201</v>
      </c>
      <c r="J221" s="30" t="s">
        <v>0</v>
      </c>
      <c r="K221" s="30" t="s">
        <v>0</v>
      </c>
      <c r="L221" s="30" t="s">
        <v>0</v>
      </c>
      <c r="M221" s="32">
        <f>M222+M225+M227+M229+M234+M236+M232+M239</f>
        <v>1215833269.96</v>
      </c>
      <c r="N221" s="32">
        <f t="shared" ref="N221:O221" si="77">N222+N225+N227+N229+N234+N236+N232+N239</f>
        <v>989041478.30999994</v>
      </c>
      <c r="O221" s="32">
        <f t="shared" si="77"/>
        <v>989041478.30999994</v>
      </c>
      <c r="P221" s="33">
        <f t="shared" si="73"/>
        <v>0.81346801633626842</v>
      </c>
    </row>
    <row r="222" spans="1:16" s="34" customFormat="1" ht="30" customHeight="1" x14ac:dyDescent="0.25">
      <c r="A222" s="29" t="s">
        <v>332</v>
      </c>
      <c r="B222" s="36" t="s">
        <v>0</v>
      </c>
      <c r="C222" s="36" t="s">
        <v>0</v>
      </c>
      <c r="D222" s="36" t="s">
        <v>0</v>
      </c>
      <c r="E222" s="36" t="s">
        <v>0</v>
      </c>
      <c r="F222" s="36" t="s">
        <v>0</v>
      </c>
      <c r="G222" s="36" t="s">
        <v>0</v>
      </c>
      <c r="H222" s="36" t="s">
        <v>0</v>
      </c>
      <c r="I222" s="36" t="s">
        <v>0</v>
      </c>
      <c r="J222" s="36" t="s">
        <v>0</v>
      </c>
      <c r="K222" s="36" t="s">
        <v>0</v>
      </c>
      <c r="L222" s="36" t="s">
        <v>0</v>
      </c>
      <c r="M222" s="32">
        <f>M223+M224</f>
        <v>405705327.97000003</v>
      </c>
      <c r="N222" s="32">
        <f t="shared" ref="N222:O222" si="78">N223+N224</f>
        <v>280122699.67000002</v>
      </c>
      <c r="O222" s="32">
        <f t="shared" si="78"/>
        <v>280122699.67000002</v>
      </c>
      <c r="P222" s="33">
        <f t="shared" si="73"/>
        <v>0.69045851843166761</v>
      </c>
    </row>
    <row r="223" spans="1:16" ht="31.2" x14ac:dyDescent="0.25">
      <c r="A223" s="18" t="s">
        <v>306</v>
      </c>
      <c r="B223" s="19" t="s">
        <v>146</v>
      </c>
      <c r="C223" s="19" t="s">
        <v>28</v>
      </c>
      <c r="D223" s="19" t="s">
        <v>70</v>
      </c>
      <c r="E223" s="19" t="s">
        <v>30</v>
      </c>
      <c r="F223" s="19" t="s">
        <v>23</v>
      </c>
      <c r="G223" s="19" t="s">
        <v>27</v>
      </c>
      <c r="H223" s="19" t="s">
        <v>235</v>
      </c>
      <c r="I223" s="19" t="s">
        <v>201</v>
      </c>
      <c r="J223" s="21" t="s">
        <v>151</v>
      </c>
      <c r="K223" s="21" t="s">
        <v>307</v>
      </c>
      <c r="L223" s="21">
        <v>2021</v>
      </c>
      <c r="M223" s="17">
        <f>20000000+203946830.59</f>
        <v>223946830.59</v>
      </c>
      <c r="N223" s="17">
        <v>131627367.68000001</v>
      </c>
      <c r="O223" s="17">
        <v>131627367.68000001</v>
      </c>
      <c r="P223" s="28">
        <f t="shared" si="73"/>
        <v>0.58776169027809233</v>
      </c>
    </row>
    <row r="224" spans="1:16" ht="31.2" x14ac:dyDescent="0.25">
      <c r="A224" s="18" t="s">
        <v>308</v>
      </c>
      <c r="B224" s="19" t="s">
        <v>146</v>
      </c>
      <c r="C224" s="19" t="s">
        <v>28</v>
      </c>
      <c r="D224" s="19" t="s">
        <v>70</v>
      </c>
      <c r="E224" s="19" t="s">
        <v>30</v>
      </c>
      <c r="F224" s="19" t="s">
        <v>23</v>
      </c>
      <c r="G224" s="19" t="s">
        <v>27</v>
      </c>
      <c r="H224" s="19" t="s">
        <v>235</v>
      </c>
      <c r="I224" s="19" t="s">
        <v>201</v>
      </c>
      <c r="J224" s="21" t="s">
        <v>309</v>
      </c>
      <c r="K224" s="21" t="s">
        <v>310</v>
      </c>
      <c r="L224" s="21">
        <v>2021</v>
      </c>
      <c r="M224" s="17">
        <f>20000000+161758497.38</f>
        <v>181758497.38</v>
      </c>
      <c r="N224" s="17">
        <v>148495331.99000001</v>
      </c>
      <c r="O224" s="17">
        <v>148495331.99000001</v>
      </c>
      <c r="P224" s="28">
        <f t="shared" si="73"/>
        <v>0.81699251551107877</v>
      </c>
    </row>
    <row r="225" spans="1:16" s="34" customFormat="1" ht="30" customHeight="1" x14ac:dyDescent="0.25">
      <c r="A225" s="29" t="s">
        <v>330</v>
      </c>
      <c r="B225" s="36" t="s">
        <v>0</v>
      </c>
      <c r="C225" s="36" t="s">
        <v>0</v>
      </c>
      <c r="D225" s="36" t="s">
        <v>0</v>
      </c>
      <c r="E225" s="36" t="s">
        <v>0</v>
      </c>
      <c r="F225" s="36" t="s">
        <v>0</v>
      </c>
      <c r="G225" s="36" t="s">
        <v>0</v>
      </c>
      <c r="H225" s="36" t="s">
        <v>0</v>
      </c>
      <c r="I225" s="36" t="s">
        <v>0</v>
      </c>
      <c r="J225" s="36" t="s">
        <v>0</v>
      </c>
      <c r="K225" s="36" t="s">
        <v>0</v>
      </c>
      <c r="L225" s="36" t="s">
        <v>0</v>
      </c>
      <c r="M225" s="32">
        <f>M226</f>
        <v>96494670.739999995</v>
      </c>
      <c r="N225" s="32">
        <f t="shared" ref="N225:O225" si="79">N226</f>
        <v>89282740.049999997</v>
      </c>
      <c r="O225" s="32">
        <f t="shared" si="79"/>
        <v>89282740.049999997</v>
      </c>
      <c r="P225" s="33">
        <f t="shared" si="73"/>
        <v>0.9252608394360744</v>
      </c>
    </row>
    <row r="226" spans="1:16" ht="32.25" customHeight="1" x14ac:dyDescent="0.25">
      <c r="A226" s="18" t="s">
        <v>311</v>
      </c>
      <c r="B226" s="19" t="s">
        <v>146</v>
      </c>
      <c r="C226" s="19" t="s">
        <v>28</v>
      </c>
      <c r="D226" s="19" t="s">
        <v>70</v>
      </c>
      <c r="E226" s="19" t="s">
        <v>30</v>
      </c>
      <c r="F226" s="19" t="s">
        <v>23</v>
      </c>
      <c r="G226" s="19" t="s">
        <v>27</v>
      </c>
      <c r="H226" s="19" t="s">
        <v>235</v>
      </c>
      <c r="I226" s="19" t="s">
        <v>201</v>
      </c>
      <c r="J226" s="21" t="s">
        <v>151</v>
      </c>
      <c r="K226" s="21" t="s">
        <v>78</v>
      </c>
      <c r="L226" s="21">
        <v>2022</v>
      </c>
      <c r="M226" s="17">
        <f>30000000+171065766.47-104571095.73</f>
        <v>96494670.739999995</v>
      </c>
      <c r="N226" s="17">
        <v>89282740.049999997</v>
      </c>
      <c r="O226" s="17">
        <v>89282740.049999997</v>
      </c>
      <c r="P226" s="28">
        <f t="shared" si="73"/>
        <v>0.9252608394360744</v>
      </c>
    </row>
    <row r="227" spans="1:16" s="34" customFormat="1" ht="30" customHeight="1" x14ac:dyDescent="0.25">
      <c r="A227" s="29" t="s">
        <v>372</v>
      </c>
      <c r="B227" s="36" t="s">
        <v>0</v>
      </c>
      <c r="C227" s="36" t="s">
        <v>0</v>
      </c>
      <c r="D227" s="36" t="s">
        <v>0</v>
      </c>
      <c r="E227" s="36" t="s">
        <v>0</v>
      </c>
      <c r="F227" s="36" t="s">
        <v>0</v>
      </c>
      <c r="G227" s="36" t="s">
        <v>0</v>
      </c>
      <c r="H227" s="36" t="s">
        <v>0</v>
      </c>
      <c r="I227" s="36" t="s">
        <v>0</v>
      </c>
      <c r="J227" s="36" t="s">
        <v>0</v>
      </c>
      <c r="K227" s="36" t="s">
        <v>0</v>
      </c>
      <c r="L227" s="36" t="s">
        <v>0</v>
      </c>
      <c r="M227" s="32">
        <f>M228</f>
        <v>191613341.80000001</v>
      </c>
      <c r="N227" s="32">
        <f t="shared" ref="N227:O227" si="80">N228</f>
        <v>191613341.80000001</v>
      </c>
      <c r="O227" s="32">
        <f t="shared" si="80"/>
        <v>191613341.80000001</v>
      </c>
      <c r="P227" s="33">
        <f t="shared" si="73"/>
        <v>1</v>
      </c>
    </row>
    <row r="228" spans="1:16" ht="32.25" customHeight="1" x14ac:dyDescent="0.25">
      <c r="A228" s="18" t="s">
        <v>312</v>
      </c>
      <c r="B228" s="19" t="s">
        <v>146</v>
      </c>
      <c r="C228" s="19" t="s">
        <v>28</v>
      </c>
      <c r="D228" s="19" t="s">
        <v>70</v>
      </c>
      <c r="E228" s="19" t="s">
        <v>30</v>
      </c>
      <c r="F228" s="19" t="s">
        <v>23</v>
      </c>
      <c r="G228" s="19" t="s">
        <v>27</v>
      </c>
      <c r="H228" s="19" t="s">
        <v>235</v>
      </c>
      <c r="I228" s="19" t="s">
        <v>201</v>
      </c>
      <c r="J228" s="21" t="s">
        <v>151</v>
      </c>
      <c r="K228" s="21" t="s">
        <v>78</v>
      </c>
      <c r="L228" s="21">
        <v>2020</v>
      </c>
      <c r="M228" s="17">
        <f>35000000+152683341.8+3930000</f>
        <v>191613341.80000001</v>
      </c>
      <c r="N228" s="17">
        <v>191613341.80000001</v>
      </c>
      <c r="O228" s="17">
        <v>191613341.80000001</v>
      </c>
      <c r="P228" s="28">
        <f t="shared" si="73"/>
        <v>1</v>
      </c>
    </row>
    <row r="229" spans="1:16" s="34" customFormat="1" ht="30" customHeight="1" x14ac:dyDescent="0.25">
      <c r="A229" s="29" t="s">
        <v>240</v>
      </c>
      <c r="B229" s="36" t="s">
        <v>0</v>
      </c>
      <c r="C229" s="36" t="s">
        <v>0</v>
      </c>
      <c r="D229" s="36" t="s">
        <v>0</v>
      </c>
      <c r="E229" s="36" t="s">
        <v>0</v>
      </c>
      <c r="F229" s="36" t="s">
        <v>0</v>
      </c>
      <c r="G229" s="36" t="s">
        <v>0</v>
      </c>
      <c r="H229" s="36" t="s">
        <v>0</v>
      </c>
      <c r="I229" s="36" t="s">
        <v>0</v>
      </c>
      <c r="J229" s="36" t="s">
        <v>0</v>
      </c>
      <c r="K229" s="36" t="s">
        <v>0</v>
      </c>
      <c r="L229" s="36" t="s">
        <v>0</v>
      </c>
      <c r="M229" s="32">
        <f>M230+M231</f>
        <v>198815379.34</v>
      </c>
      <c r="N229" s="32">
        <f t="shared" ref="N229:O229" si="81">N230+N231</f>
        <v>159133961.19999999</v>
      </c>
      <c r="O229" s="32">
        <f t="shared" si="81"/>
        <v>159133961.19999999</v>
      </c>
      <c r="P229" s="33">
        <f t="shared" si="73"/>
        <v>0.80041072138519198</v>
      </c>
    </row>
    <row r="230" spans="1:16" ht="32.25" customHeight="1" x14ac:dyDescent="0.25">
      <c r="A230" s="18" t="s">
        <v>313</v>
      </c>
      <c r="B230" s="19" t="s">
        <v>146</v>
      </c>
      <c r="C230" s="19" t="s">
        <v>28</v>
      </c>
      <c r="D230" s="19" t="s">
        <v>70</v>
      </c>
      <c r="E230" s="19" t="s">
        <v>30</v>
      </c>
      <c r="F230" s="19" t="s">
        <v>23</v>
      </c>
      <c r="G230" s="19" t="s">
        <v>27</v>
      </c>
      <c r="H230" s="19" t="s">
        <v>235</v>
      </c>
      <c r="I230" s="19" t="s">
        <v>201</v>
      </c>
      <c r="J230" s="21" t="s">
        <v>151</v>
      </c>
      <c r="K230" s="21" t="s">
        <v>307</v>
      </c>
      <c r="L230" s="21">
        <v>2020</v>
      </c>
      <c r="M230" s="17">
        <f>30000000+103000000</f>
        <v>133000000</v>
      </c>
      <c r="N230" s="17">
        <v>124851834.27</v>
      </c>
      <c r="O230" s="17">
        <v>124851834.27</v>
      </c>
      <c r="P230" s="28">
        <f t="shared" si="73"/>
        <v>0.93873559601503753</v>
      </c>
    </row>
    <row r="231" spans="1:16" ht="32.25" customHeight="1" x14ac:dyDescent="0.25">
      <c r="A231" s="18" t="s">
        <v>314</v>
      </c>
      <c r="B231" s="19" t="s">
        <v>146</v>
      </c>
      <c r="C231" s="19" t="s">
        <v>28</v>
      </c>
      <c r="D231" s="19" t="s">
        <v>70</v>
      </c>
      <c r="E231" s="19" t="s">
        <v>30</v>
      </c>
      <c r="F231" s="19" t="s">
        <v>23</v>
      </c>
      <c r="G231" s="19" t="s">
        <v>27</v>
      </c>
      <c r="H231" s="19" t="s">
        <v>235</v>
      </c>
      <c r="I231" s="19" t="s">
        <v>201</v>
      </c>
      <c r="J231" s="21" t="s">
        <v>151</v>
      </c>
      <c r="K231" s="21" t="s">
        <v>78</v>
      </c>
      <c r="L231" s="21">
        <v>2022</v>
      </c>
      <c r="M231" s="17">
        <f>30000000+163835951.74-13000000-115020572.4</f>
        <v>65815379.340000004</v>
      </c>
      <c r="N231" s="17">
        <v>34282126.93</v>
      </c>
      <c r="O231" s="17">
        <v>34282126.93</v>
      </c>
      <c r="P231" s="28">
        <f t="shared" si="73"/>
        <v>0.52088322324938219</v>
      </c>
    </row>
    <row r="232" spans="1:16" s="34" customFormat="1" ht="30" customHeight="1" x14ac:dyDescent="0.25">
      <c r="A232" s="29" t="s">
        <v>202</v>
      </c>
      <c r="B232" s="36" t="s">
        <v>0</v>
      </c>
      <c r="C232" s="36" t="s">
        <v>0</v>
      </c>
      <c r="D232" s="36" t="s">
        <v>0</v>
      </c>
      <c r="E232" s="36" t="s">
        <v>0</v>
      </c>
      <c r="F232" s="36" t="s">
        <v>0</v>
      </c>
      <c r="G232" s="36" t="s">
        <v>0</v>
      </c>
      <c r="H232" s="36" t="s">
        <v>0</v>
      </c>
      <c r="I232" s="36" t="s">
        <v>0</v>
      </c>
      <c r="J232" s="36" t="s">
        <v>0</v>
      </c>
      <c r="K232" s="36" t="s">
        <v>0</v>
      </c>
      <c r="L232" s="36" t="s">
        <v>0</v>
      </c>
      <c r="M232" s="32">
        <f>M233</f>
        <v>8676270.7799999993</v>
      </c>
      <c r="N232" s="32">
        <f t="shared" ref="N232:O232" si="82">N233</f>
        <v>8676270.7799999993</v>
      </c>
      <c r="O232" s="32">
        <f t="shared" si="82"/>
        <v>8676270.7799999993</v>
      </c>
      <c r="P232" s="33">
        <f t="shared" si="73"/>
        <v>1</v>
      </c>
    </row>
    <row r="233" spans="1:16" ht="31.2" x14ac:dyDescent="0.25">
      <c r="A233" s="18" t="s">
        <v>342</v>
      </c>
      <c r="B233" s="19" t="s">
        <v>146</v>
      </c>
      <c r="C233" s="19" t="s">
        <v>28</v>
      </c>
      <c r="D233" s="19" t="s">
        <v>70</v>
      </c>
      <c r="E233" s="19" t="s">
        <v>30</v>
      </c>
      <c r="F233" s="19" t="s">
        <v>23</v>
      </c>
      <c r="G233" s="19" t="s">
        <v>27</v>
      </c>
      <c r="H233" s="19" t="s">
        <v>235</v>
      </c>
      <c r="I233" s="19" t="s">
        <v>201</v>
      </c>
      <c r="J233" s="21" t="s">
        <v>151</v>
      </c>
      <c r="K233" s="21">
        <v>48</v>
      </c>
      <c r="L233" s="21">
        <v>2020</v>
      </c>
      <c r="M233" s="17">
        <f>9808623.08-1132352.3</f>
        <v>8676270.7799999993</v>
      </c>
      <c r="N233" s="17">
        <v>8676270.7799999993</v>
      </c>
      <c r="O233" s="17">
        <v>8676270.7799999993</v>
      </c>
      <c r="P233" s="28">
        <f t="shared" si="73"/>
        <v>1</v>
      </c>
    </row>
    <row r="234" spans="1:16" s="34" customFormat="1" ht="30" customHeight="1" x14ac:dyDescent="0.25">
      <c r="A234" s="29" t="s">
        <v>241</v>
      </c>
      <c r="B234" s="36" t="s">
        <v>0</v>
      </c>
      <c r="C234" s="36" t="s">
        <v>0</v>
      </c>
      <c r="D234" s="36" t="s">
        <v>0</v>
      </c>
      <c r="E234" s="36" t="s">
        <v>0</v>
      </c>
      <c r="F234" s="36" t="s">
        <v>0</v>
      </c>
      <c r="G234" s="36" t="s">
        <v>0</v>
      </c>
      <c r="H234" s="36" t="s">
        <v>0</v>
      </c>
      <c r="I234" s="36" t="s">
        <v>0</v>
      </c>
      <c r="J234" s="36" t="s">
        <v>0</v>
      </c>
      <c r="K234" s="36" t="s">
        <v>0</v>
      </c>
      <c r="L234" s="36" t="s">
        <v>0</v>
      </c>
      <c r="M234" s="32">
        <f>M235</f>
        <v>73530951.620000005</v>
      </c>
      <c r="N234" s="32">
        <f t="shared" ref="N234:O234" si="83">N235</f>
        <v>60940857.75</v>
      </c>
      <c r="O234" s="32">
        <f t="shared" si="83"/>
        <v>60940857.75</v>
      </c>
      <c r="P234" s="33">
        <f t="shared" si="73"/>
        <v>0.82877830909812988</v>
      </c>
    </row>
    <row r="235" spans="1:16" ht="32.25" customHeight="1" x14ac:dyDescent="0.25">
      <c r="A235" s="18" t="s">
        <v>315</v>
      </c>
      <c r="B235" s="19" t="s">
        <v>146</v>
      </c>
      <c r="C235" s="19" t="s">
        <v>28</v>
      </c>
      <c r="D235" s="19" t="s">
        <v>70</v>
      </c>
      <c r="E235" s="19" t="s">
        <v>30</v>
      </c>
      <c r="F235" s="19" t="s">
        <v>23</v>
      </c>
      <c r="G235" s="19" t="s">
        <v>27</v>
      </c>
      <c r="H235" s="19" t="s">
        <v>235</v>
      </c>
      <c r="I235" s="19" t="s">
        <v>201</v>
      </c>
      <c r="J235" s="21" t="s">
        <v>151</v>
      </c>
      <c r="K235" s="21" t="s">
        <v>78</v>
      </c>
      <c r="L235" s="21">
        <v>2022</v>
      </c>
      <c r="M235" s="17">
        <f>30000000+167954380.37-1400000-123023428.75</f>
        <v>73530951.620000005</v>
      </c>
      <c r="N235" s="17">
        <v>60940857.75</v>
      </c>
      <c r="O235" s="17">
        <v>60940857.75</v>
      </c>
      <c r="P235" s="28">
        <f t="shared" si="73"/>
        <v>0.82877830909812988</v>
      </c>
    </row>
    <row r="236" spans="1:16" s="34" customFormat="1" ht="31.2" x14ac:dyDescent="0.25">
      <c r="A236" s="29" t="s">
        <v>316</v>
      </c>
      <c r="B236" s="36" t="s">
        <v>0</v>
      </c>
      <c r="C236" s="36" t="s">
        <v>0</v>
      </c>
      <c r="D236" s="36" t="s">
        <v>0</v>
      </c>
      <c r="E236" s="36" t="s">
        <v>0</v>
      </c>
      <c r="F236" s="36" t="s">
        <v>0</v>
      </c>
      <c r="G236" s="36" t="s">
        <v>0</v>
      </c>
      <c r="H236" s="36" t="s">
        <v>0</v>
      </c>
      <c r="I236" s="36" t="s">
        <v>0</v>
      </c>
      <c r="J236" s="36" t="s">
        <v>0</v>
      </c>
      <c r="K236" s="36" t="s">
        <v>0</v>
      </c>
      <c r="L236" s="36" t="s">
        <v>0</v>
      </c>
      <c r="M236" s="32">
        <f>M237+M238</f>
        <v>235677327.71000001</v>
      </c>
      <c r="N236" s="32">
        <f t="shared" ref="N236:O236" si="84">N237+N238</f>
        <v>193951607.05999997</v>
      </c>
      <c r="O236" s="32">
        <f t="shared" si="84"/>
        <v>193951607.05999997</v>
      </c>
      <c r="P236" s="33">
        <f t="shared" si="73"/>
        <v>0.82295403187300487</v>
      </c>
    </row>
    <row r="237" spans="1:16" ht="31.2" x14ac:dyDescent="0.25">
      <c r="A237" s="18" t="s">
        <v>317</v>
      </c>
      <c r="B237" s="19" t="s">
        <v>146</v>
      </c>
      <c r="C237" s="19" t="s">
        <v>28</v>
      </c>
      <c r="D237" s="19" t="s">
        <v>70</v>
      </c>
      <c r="E237" s="19" t="s">
        <v>30</v>
      </c>
      <c r="F237" s="19" t="s">
        <v>23</v>
      </c>
      <c r="G237" s="19" t="s">
        <v>27</v>
      </c>
      <c r="H237" s="19" t="s">
        <v>235</v>
      </c>
      <c r="I237" s="19" t="s">
        <v>201</v>
      </c>
      <c r="J237" s="21" t="s">
        <v>151</v>
      </c>
      <c r="K237" s="21" t="s">
        <v>307</v>
      </c>
      <c r="L237" s="21">
        <v>2020</v>
      </c>
      <c r="M237" s="17">
        <f>50000000+146669611.77</f>
        <v>196669611.77000001</v>
      </c>
      <c r="N237" s="17">
        <v>178928397.63999999</v>
      </c>
      <c r="O237" s="17">
        <v>178928397.63999999</v>
      </c>
      <c r="P237" s="28">
        <f t="shared" si="73"/>
        <v>0.90979178750427436</v>
      </c>
    </row>
    <row r="238" spans="1:16" ht="32.25" customHeight="1" x14ac:dyDescent="0.25">
      <c r="A238" s="18" t="s">
        <v>318</v>
      </c>
      <c r="B238" s="19" t="s">
        <v>146</v>
      </c>
      <c r="C238" s="19" t="s">
        <v>28</v>
      </c>
      <c r="D238" s="19" t="s">
        <v>70</v>
      </c>
      <c r="E238" s="19" t="s">
        <v>30</v>
      </c>
      <c r="F238" s="19" t="s">
        <v>23</v>
      </c>
      <c r="G238" s="19" t="s">
        <v>27</v>
      </c>
      <c r="H238" s="19" t="s">
        <v>235</v>
      </c>
      <c r="I238" s="19" t="s">
        <v>201</v>
      </c>
      <c r="J238" s="21" t="s">
        <v>151</v>
      </c>
      <c r="K238" s="21" t="s">
        <v>78</v>
      </c>
      <c r="L238" s="21">
        <v>2022</v>
      </c>
      <c r="M238" s="17">
        <f>50000000+142745724.3-4600000-149138008.36</f>
        <v>39007715.939999998</v>
      </c>
      <c r="N238" s="17">
        <v>15023209.42</v>
      </c>
      <c r="O238" s="17">
        <v>15023209.42</v>
      </c>
      <c r="P238" s="28">
        <f t="shared" si="73"/>
        <v>0.38513430120102543</v>
      </c>
    </row>
    <row r="239" spans="1:16" s="34" customFormat="1" ht="31.2" x14ac:dyDescent="0.25">
      <c r="A239" s="29" t="s">
        <v>242</v>
      </c>
      <c r="B239" s="36" t="s">
        <v>0</v>
      </c>
      <c r="C239" s="36" t="s">
        <v>0</v>
      </c>
      <c r="D239" s="36" t="s">
        <v>0</v>
      </c>
      <c r="E239" s="36" t="s">
        <v>0</v>
      </c>
      <c r="F239" s="36" t="s">
        <v>0</v>
      </c>
      <c r="G239" s="36" t="s">
        <v>0</v>
      </c>
      <c r="H239" s="36" t="s">
        <v>0</v>
      </c>
      <c r="I239" s="36" t="s">
        <v>0</v>
      </c>
      <c r="J239" s="36" t="s">
        <v>0</v>
      </c>
      <c r="K239" s="36" t="s">
        <v>0</v>
      </c>
      <c r="L239" s="36" t="s">
        <v>0</v>
      </c>
      <c r="M239" s="32">
        <f>M240</f>
        <v>5320000.0000000037</v>
      </c>
      <c r="N239" s="32">
        <f t="shared" ref="N239:O239" si="85">N240</f>
        <v>5320000</v>
      </c>
      <c r="O239" s="32">
        <f t="shared" si="85"/>
        <v>5320000</v>
      </c>
      <c r="P239" s="33">
        <f t="shared" si="73"/>
        <v>0.99999999999999933</v>
      </c>
    </row>
    <row r="240" spans="1:16" ht="62.4" x14ac:dyDescent="0.25">
      <c r="A240" s="18" t="s">
        <v>343</v>
      </c>
      <c r="B240" s="19" t="s">
        <v>146</v>
      </c>
      <c r="C240" s="19" t="s">
        <v>28</v>
      </c>
      <c r="D240" s="19" t="s">
        <v>70</v>
      </c>
      <c r="E240" s="19" t="s">
        <v>30</v>
      </c>
      <c r="F240" s="19" t="s">
        <v>23</v>
      </c>
      <c r="G240" s="19" t="s">
        <v>27</v>
      </c>
      <c r="H240" s="19" t="s">
        <v>235</v>
      </c>
      <c r="I240" s="19" t="s">
        <v>201</v>
      </c>
      <c r="J240" s="21" t="s">
        <v>77</v>
      </c>
      <c r="K240" s="21">
        <v>1956</v>
      </c>
      <c r="L240" s="21">
        <v>2020</v>
      </c>
      <c r="M240" s="17">
        <f>34313966.09-28993966.09</f>
        <v>5320000.0000000037</v>
      </c>
      <c r="N240" s="17">
        <v>5320000</v>
      </c>
      <c r="O240" s="17">
        <v>5320000</v>
      </c>
      <c r="P240" s="28">
        <f t="shared" si="73"/>
        <v>0.99999999999999933</v>
      </c>
    </row>
    <row r="244" spans="1:16" s="12" customFormat="1" ht="18" x14ac:dyDescent="0.25">
      <c r="A244" s="11"/>
      <c r="M244" s="13"/>
    </row>
    <row r="245" spans="1:16" s="12" customFormat="1" ht="22.8" x14ac:dyDescent="0.25">
      <c r="A245" s="43" t="s">
        <v>412</v>
      </c>
      <c r="M245" s="13"/>
      <c r="N245" s="47" t="s">
        <v>413</v>
      </c>
      <c r="O245" s="47"/>
      <c r="P245" s="47"/>
    </row>
    <row r="246" spans="1:16" s="12" customFormat="1" ht="13.5" customHeight="1" x14ac:dyDescent="0.25"/>
    <row r="247" spans="1:16" s="12" customFormat="1" ht="38.25" customHeight="1" x14ac:dyDescent="0.25"/>
    <row r="248" spans="1:16" ht="38.25" customHeight="1" x14ac:dyDescent="0.25"/>
    <row r="249" spans="1:16" ht="38.25" customHeight="1" x14ac:dyDescent="0.25"/>
    <row r="250" spans="1:16" ht="38.25" customHeight="1" x14ac:dyDescent="0.25"/>
    <row r="251" spans="1:16" ht="38.25" customHeight="1" x14ac:dyDescent="0.25"/>
    <row r="252" spans="1:16" ht="38.25" customHeight="1" x14ac:dyDescent="0.25"/>
    <row r="253" spans="1:16" ht="38.25" customHeight="1" x14ac:dyDescent="0.25"/>
    <row r="254" spans="1:16" ht="38.25" customHeight="1" x14ac:dyDescent="0.25"/>
    <row r="255" spans="1:16" ht="36" x14ac:dyDescent="0.25">
      <c r="A255" s="12" t="s">
        <v>414</v>
      </c>
    </row>
  </sheetData>
  <autoFilter ref="A5:M247"/>
  <mergeCells count="4">
    <mergeCell ref="A1:P1"/>
    <mergeCell ref="A2:P2"/>
    <mergeCell ref="A3:P3"/>
    <mergeCell ref="N245:P245"/>
  </mergeCells>
  <pageMargins left="0.39370078740157483" right="0.39370078740157483" top="0.39370078740157483" bottom="0.39370078740157483" header="0.31496062992125984" footer="0.31496062992125984"/>
  <pageSetup paperSize="9" scale="68" fitToHeight="148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P82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9" width="8.77734375" style="1" customWidth="1"/>
    <col min="10" max="11" width="11.109375" style="1" customWidth="1"/>
    <col min="12" max="12" width="11.7773437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24.75" customHeight="1" x14ac:dyDescent="0.25">
      <c r="A1" s="48" t="s">
        <v>410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45" customHeight="1" x14ac:dyDescent="0.25">
      <c r="A2" s="49" t="s">
        <v>411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7.25" customHeigh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1.2" x14ac:dyDescent="0.25">
      <c r="A4" s="24" t="s">
        <v>324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5" t="s">
        <v>11</v>
      </c>
      <c r="L4" s="25" t="s">
        <v>12</v>
      </c>
      <c r="M4" s="24" t="s">
        <v>403</v>
      </c>
      <c r="N4" s="24" t="s">
        <v>404</v>
      </c>
      <c r="O4" s="24" t="s">
        <v>405</v>
      </c>
      <c r="P4" s="24" t="s">
        <v>406</v>
      </c>
    </row>
    <row r="5" spans="1:16" ht="14.4" customHeight="1" x14ac:dyDescent="0.25">
      <c r="A5" s="26" t="s">
        <v>13</v>
      </c>
      <c r="B5" s="26" t="s">
        <v>14</v>
      </c>
      <c r="C5" s="26" t="s">
        <v>15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6" t="s">
        <v>22</v>
      </c>
      <c r="K5" s="26" t="s">
        <v>23</v>
      </c>
      <c r="L5" s="26" t="s">
        <v>24</v>
      </c>
      <c r="M5" s="26" t="s">
        <v>25</v>
      </c>
      <c r="N5" s="26" t="s">
        <v>70</v>
      </c>
      <c r="O5" s="26" t="s">
        <v>95</v>
      </c>
      <c r="P5" s="27" t="s">
        <v>124</v>
      </c>
    </row>
    <row r="6" spans="1:16" s="34" customFormat="1" ht="15" customHeight="1" x14ac:dyDescent="0.25">
      <c r="A6" s="29" t="s">
        <v>26</v>
      </c>
      <c r="B6" s="30" t="s">
        <v>0</v>
      </c>
      <c r="C6" s="30" t="s">
        <v>0</v>
      </c>
      <c r="D6" s="30" t="s">
        <v>0</v>
      </c>
      <c r="E6" s="30" t="s">
        <v>0</v>
      </c>
      <c r="F6" s="30" t="s">
        <v>0</v>
      </c>
      <c r="G6" s="30" t="s">
        <v>0</v>
      </c>
      <c r="H6" s="31" t="s">
        <v>0</v>
      </c>
      <c r="I6" s="31" t="s">
        <v>0</v>
      </c>
      <c r="J6" s="31" t="s">
        <v>0</v>
      </c>
      <c r="K6" s="31" t="s">
        <v>0</v>
      </c>
      <c r="L6" s="31" t="s">
        <v>0</v>
      </c>
      <c r="M6" s="32">
        <f>M7+M53</f>
        <v>50255254.600000001</v>
      </c>
      <c r="N6" s="32">
        <f t="shared" ref="N6:O6" si="0">N7+N53</f>
        <v>50242354.600000001</v>
      </c>
      <c r="O6" s="32">
        <f t="shared" si="0"/>
        <v>50242354.600000001</v>
      </c>
      <c r="P6" s="33">
        <f>O6/M6</f>
        <v>0.99974331042390141</v>
      </c>
    </row>
    <row r="7" spans="1:16" s="34" customFormat="1" ht="32.25" customHeight="1" x14ac:dyDescent="0.25">
      <c r="A7" s="29" t="s">
        <v>69</v>
      </c>
      <c r="B7" s="30" t="s">
        <v>70</v>
      </c>
      <c r="C7" s="30" t="s">
        <v>0</v>
      </c>
      <c r="D7" s="30" t="s">
        <v>0</v>
      </c>
      <c r="E7" s="30" t="s">
        <v>0</v>
      </c>
      <c r="F7" s="30" t="s">
        <v>0</v>
      </c>
      <c r="G7" s="30" t="s">
        <v>0</v>
      </c>
      <c r="H7" s="31" t="s">
        <v>0</v>
      </c>
      <c r="I7" s="31" t="s">
        <v>0</v>
      </c>
      <c r="J7" s="31" t="s">
        <v>0</v>
      </c>
      <c r="K7" s="31" t="s">
        <v>0</v>
      </c>
      <c r="L7" s="31" t="s">
        <v>0</v>
      </c>
      <c r="M7" s="32">
        <f t="shared" ref="M7:O12" si="1">M8</f>
        <v>50212354.600000001</v>
      </c>
      <c r="N7" s="32">
        <f t="shared" si="1"/>
        <v>50212354.600000001</v>
      </c>
      <c r="O7" s="32">
        <f t="shared" si="1"/>
        <v>50212354.600000001</v>
      </c>
      <c r="P7" s="33">
        <f t="shared" ref="P7:P62" si="2">O7/M7</f>
        <v>1</v>
      </c>
    </row>
    <row r="8" spans="1:16" s="34" customFormat="1" ht="80.099999999999994" customHeight="1" x14ac:dyDescent="0.25">
      <c r="A8" s="29" t="s">
        <v>98</v>
      </c>
      <c r="B8" s="30" t="s">
        <v>70</v>
      </c>
      <c r="C8" s="30" t="s">
        <v>13</v>
      </c>
      <c r="D8" s="30" t="s">
        <v>0</v>
      </c>
      <c r="E8" s="30" t="s">
        <v>0</v>
      </c>
      <c r="F8" s="30" t="s">
        <v>0</v>
      </c>
      <c r="G8" s="30" t="s">
        <v>0</v>
      </c>
      <c r="H8" s="31" t="s">
        <v>0</v>
      </c>
      <c r="I8" s="31" t="s">
        <v>0</v>
      </c>
      <c r="J8" s="31" t="s">
        <v>0</v>
      </c>
      <c r="K8" s="31" t="s">
        <v>0</v>
      </c>
      <c r="L8" s="31" t="s">
        <v>0</v>
      </c>
      <c r="M8" s="32">
        <f t="shared" si="1"/>
        <v>50212354.600000001</v>
      </c>
      <c r="N8" s="32">
        <f t="shared" si="1"/>
        <v>50212354.600000001</v>
      </c>
      <c r="O8" s="32">
        <f t="shared" si="1"/>
        <v>50212354.600000001</v>
      </c>
      <c r="P8" s="33">
        <f t="shared" si="2"/>
        <v>1</v>
      </c>
    </row>
    <row r="9" spans="1:16" s="34" customFormat="1" ht="176.4" customHeight="1" x14ac:dyDescent="0.25">
      <c r="A9" s="29" t="s">
        <v>99</v>
      </c>
      <c r="B9" s="30" t="s">
        <v>70</v>
      </c>
      <c r="C9" s="30" t="s">
        <v>13</v>
      </c>
      <c r="D9" s="30" t="s">
        <v>100</v>
      </c>
      <c r="E9" s="30" t="s">
        <v>0</v>
      </c>
      <c r="F9" s="30" t="s">
        <v>0</v>
      </c>
      <c r="G9" s="30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2">
        <f t="shared" si="1"/>
        <v>50212354.600000001</v>
      </c>
      <c r="N9" s="32">
        <f t="shared" si="1"/>
        <v>50212354.600000001</v>
      </c>
      <c r="O9" s="32">
        <f t="shared" si="1"/>
        <v>50212354.600000001</v>
      </c>
      <c r="P9" s="33">
        <f t="shared" si="2"/>
        <v>1</v>
      </c>
    </row>
    <row r="10" spans="1:16" s="34" customFormat="1" ht="32.25" customHeight="1" x14ac:dyDescent="0.25">
      <c r="A10" s="29" t="s">
        <v>101</v>
      </c>
      <c r="B10" s="30" t="s">
        <v>70</v>
      </c>
      <c r="C10" s="30" t="s">
        <v>13</v>
      </c>
      <c r="D10" s="30" t="s">
        <v>100</v>
      </c>
      <c r="E10" s="30" t="s">
        <v>102</v>
      </c>
      <c r="F10" s="30" t="s">
        <v>0</v>
      </c>
      <c r="G10" s="30" t="s">
        <v>0</v>
      </c>
      <c r="H10" s="31" t="s">
        <v>0</v>
      </c>
      <c r="I10" s="31" t="s">
        <v>0</v>
      </c>
      <c r="J10" s="31" t="s">
        <v>0</v>
      </c>
      <c r="K10" s="31" t="s">
        <v>0</v>
      </c>
      <c r="L10" s="31" t="s">
        <v>0</v>
      </c>
      <c r="M10" s="32">
        <f t="shared" si="1"/>
        <v>50212354.600000001</v>
      </c>
      <c r="N10" s="32">
        <f t="shared" si="1"/>
        <v>50212354.600000001</v>
      </c>
      <c r="O10" s="32">
        <f t="shared" si="1"/>
        <v>50212354.600000001</v>
      </c>
      <c r="P10" s="33">
        <f t="shared" si="2"/>
        <v>1</v>
      </c>
    </row>
    <row r="11" spans="1:16" s="34" customFormat="1" ht="15" customHeight="1" x14ac:dyDescent="0.25">
      <c r="A11" s="35" t="s">
        <v>73</v>
      </c>
      <c r="B11" s="30" t="s">
        <v>70</v>
      </c>
      <c r="C11" s="30" t="s">
        <v>13</v>
      </c>
      <c r="D11" s="30" t="s">
        <v>100</v>
      </c>
      <c r="E11" s="30" t="s">
        <v>102</v>
      </c>
      <c r="F11" s="30" t="s">
        <v>47</v>
      </c>
      <c r="G11" s="30" t="s">
        <v>0</v>
      </c>
      <c r="H11" s="30" t="s">
        <v>0</v>
      </c>
      <c r="I11" s="30" t="s">
        <v>0</v>
      </c>
      <c r="J11" s="30" t="s">
        <v>0</v>
      </c>
      <c r="K11" s="30" t="s">
        <v>0</v>
      </c>
      <c r="L11" s="30" t="s">
        <v>0</v>
      </c>
      <c r="M11" s="32">
        <f>M12</f>
        <v>50212354.600000001</v>
      </c>
      <c r="N11" s="32">
        <f t="shared" si="1"/>
        <v>50212354.600000001</v>
      </c>
      <c r="O11" s="32">
        <f t="shared" si="1"/>
        <v>50212354.600000001</v>
      </c>
      <c r="P11" s="33">
        <f t="shared" si="2"/>
        <v>1</v>
      </c>
    </row>
    <row r="12" spans="1:16" s="34" customFormat="1" ht="15" customHeight="1" x14ac:dyDescent="0.25">
      <c r="A12" s="35" t="s">
        <v>74</v>
      </c>
      <c r="B12" s="30" t="s">
        <v>70</v>
      </c>
      <c r="C12" s="30" t="s">
        <v>13</v>
      </c>
      <c r="D12" s="30" t="s">
        <v>100</v>
      </c>
      <c r="E12" s="30" t="s">
        <v>102</v>
      </c>
      <c r="F12" s="30" t="s">
        <v>47</v>
      </c>
      <c r="G12" s="30" t="s">
        <v>75</v>
      </c>
      <c r="H12" s="30" t="s">
        <v>0</v>
      </c>
      <c r="I12" s="30" t="s">
        <v>0</v>
      </c>
      <c r="J12" s="30" t="s">
        <v>0</v>
      </c>
      <c r="K12" s="30" t="s">
        <v>0</v>
      </c>
      <c r="L12" s="30" t="s">
        <v>0</v>
      </c>
      <c r="M12" s="32">
        <f>M13</f>
        <v>50212354.600000001</v>
      </c>
      <c r="N12" s="32">
        <f t="shared" si="1"/>
        <v>50212354.600000001</v>
      </c>
      <c r="O12" s="32">
        <f t="shared" si="1"/>
        <v>50212354.600000001</v>
      </c>
      <c r="P12" s="33">
        <f t="shared" si="2"/>
        <v>1</v>
      </c>
    </row>
    <row r="13" spans="1:16" s="34" customFormat="1" ht="64.5" customHeight="1" x14ac:dyDescent="0.25">
      <c r="A13" s="29" t="s">
        <v>103</v>
      </c>
      <c r="B13" s="30" t="s">
        <v>70</v>
      </c>
      <c r="C13" s="30" t="s">
        <v>13</v>
      </c>
      <c r="D13" s="30" t="s">
        <v>100</v>
      </c>
      <c r="E13" s="30" t="s">
        <v>102</v>
      </c>
      <c r="F13" s="30" t="s">
        <v>47</v>
      </c>
      <c r="G13" s="30" t="s">
        <v>75</v>
      </c>
      <c r="H13" s="30" t="s">
        <v>104</v>
      </c>
      <c r="I13" s="31" t="s">
        <v>0</v>
      </c>
      <c r="J13" s="31" t="s">
        <v>0</v>
      </c>
      <c r="K13" s="31" t="s">
        <v>0</v>
      </c>
      <c r="L13" s="31" t="s">
        <v>0</v>
      </c>
      <c r="M13" s="32">
        <f>M14+M50</f>
        <v>50212354.600000001</v>
      </c>
      <c r="N13" s="32">
        <f t="shared" ref="N13:O13" si="3">N14+N50</f>
        <v>50212354.600000001</v>
      </c>
      <c r="O13" s="32">
        <f t="shared" si="3"/>
        <v>50212354.600000001</v>
      </c>
      <c r="P13" s="33">
        <f t="shared" si="2"/>
        <v>1</v>
      </c>
    </row>
    <row r="14" spans="1:16" s="34" customFormat="1" ht="80.099999999999994" customHeight="1" x14ac:dyDescent="0.25">
      <c r="A14" s="29" t="s">
        <v>105</v>
      </c>
      <c r="B14" s="30" t="s">
        <v>70</v>
      </c>
      <c r="C14" s="30" t="s">
        <v>13</v>
      </c>
      <c r="D14" s="30" t="s">
        <v>100</v>
      </c>
      <c r="E14" s="30" t="s">
        <v>102</v>
      </c>
      <c r="F14" s="30" t="s">
        <v>47</v>
      </c>
      <c r="G14" s="30" t="s">
        <v>75</v>
      </c>
      <c r="H14" s="30" t="s">
        <v>104</v>
      </c>
      <c r="I14" s="30" t="s">
        <v>106</v>
      </c>
      <c r="J14" s="30" t="s">
        <v>0</v>
      </c>
      <c r="K14" s="30" t="s">
        <v>0</v>
      </c>
      <c r="L14" s="30" t="s">
        <v>0</v>
      </c>
      <c r="M14" s="32">
        <f>M15+M21+M33+M44</f>
        <v>48834691</v>
      </c>
      <c r="N14" s="32">
        <f t="shared" ref="N14:O14" si="4">N15+N21+N33+N44</f>
        <v>48834691</v>
      </c>
      <c r="O14" s="32">
        <f t="shared" si="4"/>
        <v>48834691</v>
      </c>
      <c r="P14" s="33">
        <f t="shared" si="2"/>
        <v>1</v>
      </c>
    </row>
    <row r="15" spans="1:16" s="34" customFormat="1" ht="70.5" customHeight="1" x14ac:dyDescent="0.25">
      <c r="A15" s="29" t="s">
        <v>384</v>
      </c>
      <c r="B15" s="30">
        <v>14</v>
      </c>
      <c r="C15" s="30">
        <v>1</v>
      </c>
      <c r="D15" s="30">
        <v>29</v>
      </c>
      <c r="E15" s="30">
        <v>814</v>
      </c>
      <c r="F15" s="30" t="s">
        <v>47</v>
      </c>
      <c r="G15" s="30" t="s">
        <v>75</v>
      </c>
      <c r="H15" s="30">
        <v>13830</v>
      </c>
      <c r="I15" s="30">
        <v>461</v>
      </c>
      <c r="J15" s="30"/>
      <c r="K15" s="30"/>
      <c r="L15" s="30"/>
      <c r="M15" s="32">
        <f>SUM(M16:M20)</f>
        <v>9324770.4000000004</v>
      </c>
      <c r="N15" s="32">
        <f t="shared" ref="N15:O15" si="5">SUM(N16:N20)</f>
        <v>9324770.4000000004</v>
      </c>
      <c r="O15" s="32">
        <f t="shared" si="5"/>
        <v>9324770.4000000004</v>
      </c>
      <c r="P15" s="33">
        <f t="shared" si="2"/>
        <v>1</v>
      </c>
    </row>
    <row r="16" spans="1:16" ht="40.5" customHeight="1" x14ac:dyDescent="0.25">
      <c r="A16" s="18" t="s">
        <v>385</v>
      </c>
      <c r="B16" s="19">
        <v>14</v>
      </c>
      <c r="C16" s="19">
        <v>1</v>
      </c>
      <c r="D16" s="19">
        <v>29</v>
      </c>
      <c r="E16" s="19">
        <v>814</v>
      </c>
      <c r="F16" s="19" t="s">
        <v>47</v>
      </c>
      <c r="G16" s="19" t="s">
        <v>75</v>
      </c>
      <c r="H16" s="19">
        <v>13830</v>
      </c>
      <c r="I16" s="19">
        <v>461</v>
      </c>
      <c r="J16" s="19" t="s">
        <v>172</v>
      </c>
      <c r="K16" s="19">
        <v>39.6</v>
      </c>
      <c r="L16" s="19">
        <v>2020</v>
      </c>
      <c r="M16" s="17">
        <f>30714*K16</f>
        <v>1216274.4000000001</v>
      </c>
      <c r="N16" s="17">
        <v>1216274.3999999999</v>
      </c>
      <c r="O16" s="17">
        <v>1216274.3999999999</v>
      </c>
      <c r="P16" s="28">
        <f t="shared" si="2"/>
        <v>0.99999999999999978</v>
      </c>
    </row>
    <row r="17" spans="1:16" ht="43.5" customHeight="1" x14ac:dyDescent="0.25">
      <c r="A17" s="18" t="s">
        <v>386</v>
      </c>
      <c r="B17" s="19">
        <v>14</v>
      </c>
      <c r="C17" s="19">
        <v>1</v>
      </c>
      <c r="D17" s="19">
        <v>29</v>
      </c>
      <c r="E17" s="19">
        <v>814</v>
      </c>
      <c r="F17" s="19" t="s">
        <v>47</v>
      </c>
      <c r="G17" s="19" t="s">
        <v>75</v>
      </c>
      <c r="H17" s="19">
        <v>13830</v>
      </c>
      <c r="I17" s="19">
        <v>461</v>
      </c>
      <c r="J17" s="19" t="s">
        <v>172</v>
      </c>
      <c r="K17" s="19">
        <v>58.5</v>
      </c>
      <c r="L17" s="19">
        <v>2020</v>
      </c>
      <c r="M17" s="17">
        <f>30714*K17</f>
        <v>1796769</v>
      </c>
      <c r="N17" s="17">
        <v>1796769</v>
      </c>
      <c r="O17" s="17">
        <v>1796769</v>
      </c>
      <c r="P17" s="28">
        <f t="shared" si="2"/>
        <v>1</v>
      </c>
    </row>
    <row r="18" spans="1:16" ht="43.5" customHeight="1" x14ac:dyDescent="0.25">
      <c r="A18" s="18" t="s">
        <v>386</v>
      </c>
      <c r="B18" s="19">
        <v>14</v>
      </c>
      <c r="C18" s="19">
        <v>1</v>
      </c>
      <c r="D18" s="19">
        <v>29</v>
      </c>
      <c r="E18" s="19">
        <v>814</v>
      </c>
      <c r="F18" s="19" t="s">
        <v>47</v>
      </c>
      <c r="G18" s="19" t="s">
        <v>75</v>
      </c>
      <c r="H18" s="19">
        <v>13830</v>
      </c>
      <c r="I18" s="19">
        <v>461</v>
      </c>
      <c r="J18" s="19" t="s">
        <v>172</v>
      </c>
      <c r="K18" s="19">
        <v>63.2</v>
      </c>
      <c r="L18" s="19">
        <v>2020</v>
      </c>
      <c r="M18" s="17">
        <f>30714*K18</f>
        <v>1941124.8</v>
      </c>
      <c r="N18" s="17">
        <v>1941124.8</v>
      </c>
      <c r="O18" s="17">
        <v>1941124.8</v>
      </c>
      <c r="P18" s="28">
        <f t="shared" si="2"/>
        <v>1</v>
      </c>
    </row>
    <row r="19" spans="1:16" ht="44.25" customHeight="1" x14ac:dyDescent="0.25">
      <c r="A19" s="18" t="s">
        <v>386</v>
      </c>
      <c r="B19" s="19">
        <v>14</v>
      </c>
      <c r="C19" s="19">
        <v>1</v>
      </c>
      <c r="D19" s="19">
        <v>29</v>
      </c>
      <c r="E19" s="19">
        <v>814</v>
      </c>
      <c r="F19" s="19" t="s">
        <v>47</v>
      </c>
      <c r="G19" s="19" t="s">
        <v>75</v>
      </c>
      <c r="H19" s="19">
        <v>13830</v>
      </c>
      <c r="I19" s="19">
        <v>461</v>
      </c>
      <c r="J19" s="19" t="s">
        <v>172</v>
      </c>
      <c r="K19" s="19">
        <v>63.3</v>
      </c>
      <c r="L19" s="19">
        <v>2020</v>
      </c>
      <c r="M19" s="17">
        <f>30714*K19</f>
        <v>1944196.2</v>
      </c>
      <c r="N19" s="17">
        <v>1944196.2</v>
      </c>
      <c r="O19" s="17">
        <v>1944196.2</v>
      </c>
      <c r="P19" s="28">
        <f t="shared" si="2"/>
        <v>1</v>
      </c>
    </row>
    <row r="20" spans="1:16" ht="48.75" customHeight="1" x14ac:dyDescent="0.25">
      <c r="A20" s="18" t="s">
        <v>387</v>
      </c>
      <c r="B20" s="19">
        <v>14</v>
      </c>
      <c r="C20" s="19">
        <v>1</v>
      </c>
      <c r="D20" s="19">
        <v>29</v>
      </c>
      <c r="E20" s="19">
        <v>814</v>
      </c>
      <c r="F20" s="19" t="s">
        <v>47</v>
      </c>
      <c r="G20" s="19" t="s">
        <v>75</v>
      </c>
      <c r="H20" s="19">
        <v>13830</v>
      </c>
      <c r="I20" s="19">
        <v>461</v>
      </c>
      <c r="J20" s="19" t="s">
        <v>172</v>
      </c>
      <c r="K20" s="23">
        <v>79</v>
      </c>
      <c r="L20" s="19">
        <v>2020</v>
      </c>
      <c r="M20" s="17">
        <f>30714*K20</f>
        <v>2426406</v>
      </c>
      <c r="N20" s="17">
        <v>2426406</v>
      </c>
      <c r="O20" s="17">
        <v>2426406</v>
      </c>
      <c r="P20" s="28">
        <f t="shared" si="2"/>
        <v>1</v>
      </c>
    </row>
    <row r="21" spans="1:16" s="34" customFormat="1" ht="80.099999999999994" customHeight="1" x14ac:dyDescent="0.25">
      <c r="A21" s="29" t="s">
        <v>359</v>
      </c>
      <c r="B21" s="30">
        <v>14</v>
      </c>
      <c r="C21" s="30">
        <v>1</v>
      </c>
      <c r="D21" s="30">
        <v>29</v>
      </c>
      <c r="E21" s="30">
        <v>814</v>
      </c>
      <c r="F21" s="30" t="s">
        <v>47</v>
      </c>
      <c r="G21" s="30" t="s">
        <v>75</v>
      </c>
      <c r="H21" s="30">
        <v>13830</v>
      </c>
      <c r="I21" s="30">
        <v>461</v>
      </c>
      <c r="J21" s="30"/>
      <c r="K21" s="30"/>
      <c r="L21" s="30"/>
      <c r="M21" s="32">
        <f>SUM(M22:M32)</f>
        <v>18818945.600000001</v>
      </c>
      <c r="N21" s="32">
        <f t="shared" ref="N21:O21" si="6">SUM(N22:N32)</f>
        <v>18818945.599999998</v>
      </c>
      <c r="O21" s="32">
        <f t="shared" si="6"/>
        <v>18818945.599999998</v>
      </c>
      <c r="P21" s="33">
        <f t="shared" si="2"/>
        <v>0.99999999999999978</v>
      </c>
    </row>
    <row r="22" spans="1:16" ht="42" customHeight="1" x14ac:dyDescent="0.25">
      <c r="A22" s="18" t="s">
        <v>360</v>
      </c>
      <c r="B22" s="19" t="s">
        <v>70</v>
      </c>
      <c r="C22" s="19" t="s">
        <v>13</v>
      </c>
      <c r="D22" s="19" t="s">
        <v>100</v>
      </c>
      <c r="E22" s="19" t="s">
        <v>102</v>
      </c>
      <c r="F22" s="19" t="s">
        <v>47</v>
      </c>
      <c r="G22" s="19" t="s">
        <v>75</v>
      </c>
      <c r="H22" s="19" t="s">
        <v>104</v>
      </c>
      <c r="I22" s="19">
        <v>461</v>
      </c>
      <c r="J22" s="19" t="s">
        <v>172</v>
      </c>
      <c r="K22" s="19">
        <v>31.4</v>
      </c>
      <c r="L22" s="19">
        <v>2020</v>
      </c>
      <c r="M22" s="17">
        <f t="shared" ref="M22:M32" si="7">30412*K22</f>
        <v>954936.79999999993</v>
      </c>
      <c r="N22" s="17">
        <v>954936.8</v>
      </c>
      <c r="O22" s="17">
        <v>954936.8</v>
      </c>
      <c r="P22" s="28">
        <f t="shared" si="2"/>
        <v>1.0000000000000002</v>
      </c>
    </row>
    <row r="23" spans="1:16" ht="39.75" customHeight="1" x14ac:dyDescent="0.25">
      <c r="A23" s="18" t="s">
        <v>360</v>
      </c>
      <c r="B23" s="19" t="s">
        <v>70</v>
      </c>
      <c r="C23" s="19" t="s">
        <v>13</v>
      </c>
      <c r="D23" s="19" t="s">
        <v>100</v>
      </c>
      <c r="E23" s="19" t="s">
        <v>102</v>
      </c>
      <c r="F23" s="19" t="s">
        <v>47</v>
      </c>
      <c r="G23" s="19" t="s">
        <v>75</v>
      </c>
      <c r="H23" s="19" t="s">
        <v>104</v>
      </c>
      <c r="I23" s="19">
        <v>461</v>
      </c>
      <c r="J23" s="19" t="s">
        <v>172</v>
      </c>
      <c r="K23" s="19">
        <v>32.1</v>
      </c>
      <c r="L23" s="19">
        <v>2020</v>
      </c>
      <c r="M23" s="17">
        <f t="shared" si="7"/>
        <v>976225.20000000007</v>
      </c>
      <c r="N23" s="17">
        <v>976225.2</v>
      </c>
      <c r="O23" s="17">
        <v>976225.2</v>
      </c>
      <c r="P23" s="28">
        <f t="shared" si="2"/>
        <v>0.99999999999999989</v>
      </c>
    </row>
    <row r="24" spans="1:16" ht="39.75" customHeight="1" x14ac:dyDescent="0.25">
      <c r="A24" s="18" t="s">
        <v>361</v>
      </c>
      <c r="B24" s="19" t="s">
        <v>70</v>
      </c>
      <c r="C24" s="19" t="s">
        <v>13</v>
      </c>
      <c r="D24" s="19" t="s">
        <v>100</v>
      </c>
      <c r="E24" s="19" t="s">
        <v>102</v>
      </c>
      <c r="F24" s="19" t="s">
        <v>47</v>
      </c>
      <c r="G24" s="19" t="s">
        <v>75</v>
      </c>
      <c r="H24" s="19" t="s">
        <v>104</v>
      </c>
      <c r="I24" s="19">
        <v>461</v>
      </c>
      <c r="J24" s="19" t="s">
        <v>172</v>
      </c>
      <c r="K24" s="19">
        <v>47.2</v>
      </c>
      <c r="L24" s="19">
        <v>2020</v>
      </c>
      <c r="M24" s="17">
        <f t="shared" si="7"/>
        <v>1435446.4000000001</v>
      </c>
      <c r="N24" s="17">
        <v>1435446.4</v>
      </c>
      <c r="O24" s="17">
        <v>1435446.4</v>
      </c>
      <c r="P24" s="28">
        <f t="shared" si="2"/>
        <v>0.99999999999999989</v>
      </c>
    </row>
    <row r="25" spans="1:16" ht="40.5" customHeight="1" x14ac:dyDescent="0.25">
      <c r="A25" s="18" t="s">
        <v>361</v>
      </c>
      <c r="B25" s="19" t="s">
        <v>70</v>
      </c>
      <c r="C25" s="19" t="s">
        <v>13</v>
      </c>
      <c r="D25" s="19" t="s">
        <v>100</v>
      </c>
      <c r="E25" s="19" t="s">
        <v>102</v>
      </c>
      <c r="F25" s="19" t="s">
        <v>47</v>
      </c>
      <c r="G25" s="19" t="s">
        <v>75</v>
      </c>
      <c r="H25" s="19" t="s">
        <v>104</v>
      </c>
      <c r="I25" s="19">
        <v>461</v>
      </c>
      <c r="J25" s="19" t="s">
        <v>172</v>
      </c>
      <c r="K25" s="19">
        <v>47.4</v>
      </c>
      <c r="L25" s="19">
        <v>2020</v>
      </c>
      <c r="M25" s="17">
        <f t="shared" si="7"/>
        <v>1441528.8</v>
      </c>
      <c r="N25" s="17">
        <v>1441528.8</v>
      </c>
      <c r="O25" s="17">
        <v>1441528.8</v>
      </c>
      <c r="P25" s="28">
        <f t="shared" si="2"/>
        <v>1</v>
      </c>
    </row>
    <row r="26" spans="1:16" ht="39.75" customHeight="1" x14ac:dyDescent="0.25">
      <c r="A26" s="18" t="s">
        <v>361</v>
      </c>
      <c r="B26" s="19" t="s">
        <v>70</v>
      </c>
      <c r="C26" s="19" t="s">
        <v>13</v>
      </c>
      <c r="D26" s="19" t="s">
        <v>100</v>
      </c>
      <c r="E26" s="19" t="s">
        <v>102</v>
      </c>
      <c r="F26" s="19" t="s">
        <v>47</v>
      </c>
      <c r="G26" s="19" t="s">
        <v>75</v>
      </c>
      <c r="H26" s="19" t="s">
        <v>104</v>
      </c>
      <c r="I26" s="19">
        <v>461</v>
      </c>
      <c r="J26" s="19" t="s">
        <v>172</v>
      </c>
      <c r="K26" s="19">
        <v>47.5</v>
      </c>
      <c r="L26" s="19">
        <v>2020</v>
      </c>
      <c r="M26" s="17">
        <f t="shared" si="7"/>
        <v>1444570</v>
      </c>
      <c r="N26" s="17">
        <v>1444570</v>
      </c>
      <c r="O26" s="17">
        <v>1444570</v>
      </c>
      <c r="P26" s="28">
        <f t="shared" si="2"/>
        <v>1</v>
      </c>
    </row>
    <row r="27" spans="1:16" ht="39.75" customHeight="1" x14ac:dyDescent="0.25">
      <c r="A27" s="18" t="s">
        <v>361</v>
      </c>
      <c r="B27" s="19" t="s">
        <v>70</v>
      </c>
      <c r="C27" s="19" t="s">
        <v>13</v>
      </c>
      <c r="D27" s="19" t="s">
        <v>100</v>
      </c>
      <c r="E27" s="19" t="s">
        <v>102</v>
      </c>
      <c r="F27" s="19" t="s">
        <v>47</v>
      </c>
      <c r="G27" s="19" t="s">
        <v>75</v>
      </c>
      <c r="H27" s="19" t="s">
        <v>104</v>
      </c>
      <c r="I27" s="19">
        <v>461</v>
      </c>
      <c r="J27" s="19" t="s">
        <v>172</v>
      </c>
      <c r="K27" s="19">
        <v>47.6</v>
      </c>
      <c r="L27" s="19">
        <v>2020</v>
      </c>
      <c r="M27" s="17">
        <f t="shared" si="7"/>
        <v>1447611.2</v>
      </c>
      <c r="N27" s="17">
        <v>1447611.2</v>
      </c>
      <c r="O27" s="17">
        <v>1447611.2</v>
      </c>
      <c r="P27" s="28">
        <f t="shared" si="2"/>
        <v>1</v>
      </c>
    </row>
    <row r="28" spans="1:16" ht="42" customHeight="1" x14ac:dyDescent="0.25">
      <c r="A28" s="18" t="s">
        <v>361</v>
      </c>
      <c r="B28" s="19" t="s">
        <v>70</v>
      </c>
      <c r="C28" s="19" t="s">
        <v>13</v>
      </c>
      <c r="D28" s="19" t="s">
        <v>100</v>
      </c>
      <c r="E28" s="19" t="s">
        <v>102</v>
      </c>
      <c r="F28" s="19" t="s">
        <v>47</v>
      </c>
      <c r="G28" s="19" t="s">
        <v>75</v>
      </c>
      <c r="H28" s="19" t="s">
        <v>104</v>
      </c>
      <c r="I28" s="19">
        <v>461</v>
      </c>
      <c r="J28" s="19" t="s">
        <v>172</v>
      </c>
      <c r="K28" s="19">
        <v>70.400000000000006</v>
      </c>
      <c r="L28" s="19">
        <v>2020</v>
      </c>
      <c r="M28" s="17">
        <f t="shared" si="7"/>
        <v>2141004.8000000003</v>
      </c>
      <c r="N28" s="17">
        <v>2141004.7999999998</v>
      </c>
      <c r="O28" s="17">
        <v>2141004.7999999998</v>
      </c>
      <c r="P28" s="28">
        <f t="shared" si="2"/>
        <v>0.99999999999999978</v>
      </c>
    </row>
    <row r="29" spans="1:16" ht="42" customHeight="1" x14ac:dyDescent="0.25">
      <c r="A29" s="18" t="s">
        <v>361</v>
      </c>
      <c r="B29" s="19" t="s">
        <v>70</v>
      </c>
      <c r="C29" s="19" t="s">
        <v>13</v>
      </c>
      <c r="D29" s="19" t="s">
        <v>100</v>
      </c>
      <c r="E29" s="19" t="s">
        <v>102</v>
      </c>
      <c r="F29" s="19" t="s">
        <v>47</v>
      </c>
      <c r="G29" s="19" t="s">
        <v>75</v>
      </c>
      <c r="H29" s="19" t="s">
        <v>104</v>
      </c>
      <c r="I29" s="19">
        <v>461</v>
      </c>
      <c r="J29" s="19" t="s">
        <v>172</v>
      </c>
      <c r="K29" s="19">
        <v>70.7</v>
      </c>
      <c r="L29" s="19">
        <v>2020</v>
      </c>
      <c r="M29" s="17">
        <f t="shared" si="7"/>
        <v>2150128.4</v>
      </c>
      <c r="N29" s="17">
        <v>2150128.4</v>
      </c>
      <c r="O29" s="17">
        <v>2150128.4</v>
      </c>
      <c r="P29" s="28">
        <f t="shared" si="2"/>
        <v>1</v>
      </c>
    </row>
    <row r="30" spans="1:16" ht="39.75" customHeight="1" x14ac:dyDescent="0.25">
      <c r="A30" s="18" t="s">
        <v>361</v>
      </c>
      <c r="B30" s="19" t="s">
        <v>70</v>
      </c>
      <c r="C30" s="19" t="s">
        <v>13</v>
      </c>
      <c r="D30" s="19" t="s">
        <v>100</v>
      </c>
      <c r="E30" s="19" t="s">
        <v>102</v>
      </c>
      <c r="F30" s="19" t="s">
        <v>47</v>
      </c>
      <c r="G30" s="19" t="s">
        <v>75</v>
      </c>
      <c r="H30" s="19" t="s">
        <v>104</v>
      </c>
      <c r="I30" s="19">
        <v>461</v>
      </c>
      <c r="J30" s="19" t="s">
        <v>172</v>
      </c>
      <c r="K30" s="19">
        <v>70.900000000000006</v>
      </c>
      <c r="L30" s="19">
        <v>2020</v>
      </c>
      <c r="M30" s="17">
        <f t="shared" si="7"/>
        <v>2156210.8000000003</v>
      </c>
      <c r="N30" s="17">
        <v>2156210.7999999998</v>
      </c>
      <c r="O30" s="17">
        <v>2156210.7999999998</v>
      </c>
      <c r="P30" s="28">
        <f t="shared" si="2"/>
        <v>0.99999999999999978</v>
      </c>
    </row>
    <row r="31" spans="1:16" ht="39.75" customHeight="1" x14ac:dyDescent="0.25">
      <c r="A31" s="18" t="s">
        <v>361</v>
      </c>
      <c r="B31" s="19" t="s">
        <v>70</v>
      </c>
      <c r="C31" s="19" t="s">
        <v>13</v>
      </c>
      <c r="D31" s="19" t="s">
        <v>100</v>
      </c>
      <c r="E31" s="19" t="s">
        <v>102</v>
      </c>
      <c r="F31" s="19" t="s">
        <v>47</v>
      </c>
      <c r="G31" s="19" t="s">
        <v>75</v>
      </c>
      <c r="H31" s="19" t="s">
        <v>104</v>
      </c>
      <c r="I31" s="19">
        <v>461</v>
      </c>
      <c r="J31" s="19" t="s">
        <v>172</v>
      </c>
      <c r="K31" s="19">
        <v>71.2</v>
      </c>
      <c r="L31" s="19">
        <v>2020</v>
      </c>
      <c r="M31" s="17">
        <f t="shared" si="7"/>
        <v>2165334.4</v>
      </c>
      <c r="N31" s="17">
        <v>2165334.4</v>
      </c>
      <c r="O31" s="17">
        <v>2165334.4</v>
      </c>
      <c r="P31" s="28">
        <f t="shared" si="2"/>
        <v>1</v>
      </c>
    </row>
    <row r="32" spans="1:16" ht="38.25" customHeight="1" x14ac:dyDescent="0.25">
      <c r="A32" s="18" t="s">
        <v>361</v>
      </c>
      <c r="B32" s="19" t="s">
        <v>70</v>
      </c>
      <c r="C32" s="19" t="s">
        <v>13</v>
      </c>
      <c r="D32" s="19" t="s">
        <v>100</v>
      </c>
      <c r="E32" s="19" t="s">
        <v>102</v>
      </c>
      <c r="F32" s="19" t="s">
        <v>47</v>
      </c>
      <c r="G32" s="19" t="s">
        <v>75</v>
      </c>
      <c r="H32" s="19" t="s">
        <v>104</v>
      </c>
      <c r="I32" s="19">
        <v>461</v>
      </c>
      <c r="J32" s="19" t="s">
        <v>172</v>
      </c>
      <c r="K32" s="19">
        <v>82.4</v>
      </c>
      <c r="L32" s="19">
        <v>2020</v>
      </c>
      <c r="M32" s="17">
        <f t="shared" si="7"/>
        <v>2505948.8000000003</v>
      </c>
      <c r="N32" s="17">
        <v>2505948.7999999998</v>
      </c>
      <c r="O32" s="17">
        <v>2505948.7999999998</v>
      </c>
      <c r="P32" s="28">
        <f t="shared" si="2"/>
        <v>0.99999999999999978</v>
      </c>
    </row>
    <row r="33" spans="1:16" s="34" customFormat="1" ht="79.5" customHeight="1" x14ac:dyDescent="0.25">
      <c r="A33" s="29" t="s">
        <v>388</v>
      </c>
      <c r="B33" s="30">
        <v>14</v>
      </c>
      <c r="C33" s="30">
        <v>1</v>
      </c>
      <c r="D33" s="30">
        <v>29</v>
      </c>
      <c r="E33" s="30">
        <v>814</v>
      </c>
      <c r="F33" s="30" t="s">
        <v>47</v>
      </c>
      <c r="G33" s="30" t="s">
        <v>75</v>
      </c>
      <c r="H33" s="30">
        <v>13830</v>
      </c>
      <c r="I33" s="30">
        <v>461</v>
      </c>
      <c r="J33" s="30"/>
      <c r="K33" s="30"/>
      <c r="L33" s="30"/>
      <c r="M33" s="32">
        <f>SUM(M34:M43)</f>
        <v>14708934.6</v>
      </c>
      <c r="N33" s="32">
        <f t="shared" ref="N33:O33" si="8">SUM(N34:N43)</f>
        <v>14708934.6</v>
      </c>
      <c r="O33" s="32">
        <f t="shared" si="8"/>
        <v>14708934.6</v>
      </c>
      <c r="P33" s="33">
        <f t="shared" si="2"/>
        <v>1</v>
      </c>
    </row>
    <row r="34" spans="1:16" ht="38.25" customHeight="1" x14ac:dyDescent="0.25">
      <c r="A34" s="18" t="s">
        <v>389</v>
      </c>
      <c r="B34" s="19">
        <v>14</v>
      </c>
      <c r="C34" s="19">
        <v>1</v>
      </c>
      <c r="D34" s="19">
        <v>29</v>
      </c>
      <c r="E34" s="19">
        <v>814</v>
      </c>
      <c r="F34" s="19" t="s">
        <v>47</v>
      </c>
      <c r="G34" s="19" t="s">
        <v>75</v>
      </c>
      <c r="H34" s="19">
        <v>13830</v>
      </c>
      <c r="I34" s="19">
        <v>461</v>
      </c>
      <c r="J34" s="19" t="s">
        <v>172</v>
      </c>
      <c r="K34" s="19">
        <v>34.799999999999997</v>
      </c>
      <c r="L34" s="19">
        <v>2020</v>
      </c>
      <c r="M34" s="17">
        <f t="shared" ref="M34:M43" si="9">30714*K34</f>
        <v>1068847.2</v>
      </c>
      <c r="N34" s="17">
        <v>1068847.2</v>
      </c>
      <c r="O34" s="17">
        <v>1068847.2</v>
      </c>
      <c r="P34" s="28">
        <f t="shared" si="2"/>
        <v>1</v>
      </c>
    </row>
    <row r="35" spans="1:16" ht="38.25" customHeight="1" x14ac:dyDescent="0.25">
      <c r="A35" s="18" t="s">
        <v>389</v>
      </c>
      <c r="B35" s="19">
        <v>14</v>
      </c>
      <c r="C35" s="19">
        <v>1</v>
      </c>
      <c r="D35" s="19">
        <v>29</v>
      </c>
      <c r="E35" s="19">
        <v>814</v>
      </c>
      <c r="F35" s="19" t="s">
        <v>47</v>
      </c>
      <c r="G35" s="19" t="s">
        <v>75</v>
      </c>
      <c r="H35" s="19">
        <v>13830</v>
      </c>
      <c r="I35" s="19">
        <v>461</v>
      </c>
      <c r="J35" s="19" t="s">
        <v>172</v>
      </c>
      <c r="K35" s="19">
        <v>34.9</v>
      </c>
      <c r="L35" s="19">
        <v>2020</v>
      </c>
      <c r="M35" s="17">
        <f t="shared" si="9"/>
        <v>1071918.5999999999</v>
      </c>
      <c r="N35" s="17">
        <v>1071918.6000000001</v>
      </c>
      <c r="O35" s="17">
        <v>1071918.6000000001</v>
      </c>
      <c r="P35" s="28">
        <f t="shared" si="2"/>
        <v>1.0000000000000002</v>
      </c>
    </row>
    <row r="36" spans="1:16" ht="38.25" customHeight="1" x14ac:dyDescent="0.25">
      <c r="A36" s="18" t="s">
        <v>389</v>
      </c>
      <c r="B36" s="19">
        <v>14</v>
      </c>
      <c r="C36" s="19">
        <v>1</v>
      </c>
      <c r="D36" s="19">
        <v>29</v>
      </c>
      <c r="E36" s="19">
        <v>814</v>
      </c>
      <c r="F36" s="19" t="s">
        <v>47</v>
      </c>
      <c r="G36" s="19" t="s">
        <v>75</v>
      </c>
      <c r="H36" s="19">
        <v>13830</v>
      </c>
      <c r="I36" s="19">
        <v>461</v>
      </c>
      <c r="J36" s="19" t="s">
        <v>172</v>
      </c>
      <c r="K36" s="19">
        <v>34.9</v>
      </c>
      <c r="L36" s="19">
        <v>2020</v>
      </c>
      <c r="M36" s="17">
        <f t="shared" si="9"/>
        <v>1071918.5999999999</v>
      </c>
      <c r="N36" s="17">
        <v>1071918.6000000001</v>
      </c>
      <c r="O36" s="17">
        <v>1071918.6000000001</v>
      </c>
      <c r="P36" s="28">
        <f t="shared" si="2"/>
        <v>1.0000000000000002</v>
      </c>
    </row>
    <row r="37" spans="1:16" ht="38.25" customHeight="1" x14ac:dyDescent="0.25">
      <c r="A37" s="18" t="s">
        <v>389</v>
      </c>
      <c r="B37" s="19">
        <v>14</v>
      </c>
      <c r="C37" s="19">
        <v>1</v>
      </c>
      <c r="D37" s="19">
        <v>29</v>
      </c>
      <c r="E37" s="19">
        <v>814</v>
      </c>
      <c r="F37" s="19" t="s">
        <v>47</v>
      </c>
      <c r="G37" s="19" t="s">
        <v>75</v>
      </c>
      <c r="H37" s="19">
        <v>13830</v>
      </c>
      <c r="I37" s="19">
        <v>461</v>
      </c>
      <c r="J37" s="19" t="s">
        <v>172</v>
      </c>
      <c r="K37" s="19">
        <v>34.9</v>
      </c>
      <c r="L37" s="19">
        <v>2020</v>
      </c>
      <c r="M37" s="17">
        <f t="shared" si="9"/>
        <v>1071918.5999999999</v>
      </c>
      <c r="N37" s="17">
        <v>1071918.6000000001</v>
      </c>
      <c r="O37" s="17">
        <v>1071918.6000000001</v>
      </c>
      <c r="P37" s="28">
        <f t="shared" si="2"/>
        <v>1.0000000000000002</v>
      </c>
    </row>
    <row r="38" spans="1:16" ht="38.25" customHeight="1" x14ac:dyDescent="0.25">
      <c r="A38" s="18" t="s">
        <v>390</v>
      </c>
      <c r="B38" s="19">
        <v>14</v>
      </c>
      <c r="C38" s="19">
        <v>1</v>
      </c>
      <c r="D38" s="19">
        <v>29</v>
      </c>
      <c r="E38" s="19">
        <v>814</v>
      </c>
      <c r="F38" s="19" t="s">
        <v>47</v>
      </c>
      <c r="G38" s="19" t="s">
        <v>75</v>
      </c>
      <c r="H38" s="19">
        <v>13830</v>
      </c>
      <c r="I38" s="19">
        <v>461</v>
      </c>
      <c r="J38" s="19" t="s">
        <v>172</v>
      </c>
      <c r="K38" s="19">
        <v>53.3</v>
      </c>
      <c r="L38" s="19">
        <v>2020</v>
      </c>
      <c r="M38" s="17">
        <f t="shared" si="9"/>
        <v>1637056.2</v>
      </c>
      <c r="N38" s="17">
        <v>1637056.2</v>
      </c>
      <c r="O38" s="17">
        <v>1637056.2</v>
      </c>
      <c r="P38" s="28">
        <f t="shared" si="2"/>
        <v>1</v>
      </c>
    </row>
    <row r="39" spans="1:16" ht="38.25" customHeight="1" x14ac:dyDescent="0.25">
      <c r="A39" s="18" t="s">
        <v>390</v>
      </c>
      <c r="B39" s="19">
        <v>14</v>
      </c>
      <c r="C39" s="19">
        <v>1</v>
      </c>
      <c r="D39" s="19">
        <v>29</v>
      </c>
      <c r="E39" s="19">
        <v>814</v>
      </c>
      <c r="F39" s="19" t="s">
        <v>47</v>
      </c>
      <c r="G39" s="19" t="s">
        <v>75</v>
      </c>
      <c r="H39" s="19">
        <v>13830</v>
      </c>
      <c r="I39" s="19">
        <v>461</v>
      </c>
      <c r="J39" s="19" t="s">
        <v>172</v>
      </c>
      <c r="K39" s="19">
        <v>53.3</v>
      </c>
      <c r="L39" s="19">
        <v>2020</v>
      </c>
      <c r="M39" s="17">
        <f t="shared" si="9"/>
        <v>1637056.2</v>
      </c>
      <c r="N39" s="17">
        <v>1637056.2</v>
      </c>
      <c r="O39" s="17">
        <v>1637056.2</v>
      </c>
      <c r="P39" s="28">
        <f t="shared" si="2"/>
        <v>1</v>
      </c>
    </row>
    <row r="40" spans="1:16" ht="38.25" customHeight="1" x14ac:dyDescent="0.25">
      <c r="A40" s="18" t="s">
        <v>390</v>
      </c>
      <c r="B40" s="19">
        <v>14</v>
      </c>
      <c r="C40" s="19">
        <v>1</v>
      </c>
      <c r="D40" s="19">
        <v>29</v>
      </c>
      <c r="E40" s="19">
        <v>814</v>
      </c>
      <c r="F40" s="19" t="s">
        <v>47</v>
      </c>
      <c r="G40" s="19" t="s">
        <v>75</v>
      </c>
      <c r="H40" s="19">
        <v>13830</v>
      </c>
      <c r="I40" s="19">
        <v>461</v>
      </c>
      <c r="J40" s="19" t="s">
        <v>172</v>
      </c>
      <c r="K40" s="19">
        <v>53.3</v>
      </c>
      <c r="L40" s="19">
        <v>2020</v>
      </c>
      <c r="M40" s="17">
        <f t="shared" si="9"/>
        <v>1637056.2</v>
      </c>
      <c r="N40" s="17">
        <v>1637056.2</v>
      </c>
      <c r="O40" s="17">
        <v>1637056.2</v>
      </c>
      <c r="P40" s="28">
        <f t="shared" si="2"/>
        <v>1</v>
      </c>
    </row>
    <row r="41" spans="1:16" ht="38.25" customHeight="1" x14ac:dyDescent="0.25">
      <c r="A41" s="18" t="s">
        <v>390</v>
      </c>
      <c r="B41" s="19">
        <v>14</v>
      </c>
      <c r="C41" s="19">
        <v>1</v>
      </c>
      <c r="D41" s="19">
        <v>29</v>
      </c>
      <c r="E41" s="19">
        <v>814</v>
      </c>
      <c r="F41" s="19" t="s">
        <v>47</v>
      </c>
      <c r="G41" s="19" t="s">
        <v>75</v>
      </c>
      <c r="H41" s="19">
        <v>13830</v>
      </c>
      <c r="I41" s="19">
        <v>461</v>
      </c>
      <c r="J41" s="19" t="s">
        <v>172</v>
      </c>
      <c r="K41" s="19">
        <v>59.7</v>
      </c>
      <c r="L41" s="19">
        <v>2020</v>
      </c>
      <c r="M41" s="17">
        <f t="shared" si="9"/>
        <v>1833625.8</v>
      </c>
      <c r="N41" s="17">
        <v>1833625.8</v>
      </c>
      <c r="O41" s="17">
        <v>1833625.8</v>
      </c>
      <c r="P41" s="28">
        <f t="shared" si="2"/>
        <v>1</v>
      </c>
    </row>
    <row r="42" spans="1:16" ht="38.25" customHeight="1" x14ac:dyDescent="0.25">
      <c r="A42" s="18" t="s">
        <v>390</v>
      </c>
      <c r="B42" s="19">
        <v>14</v>
      </c>
      <c r="C42" s="19">
        <v>1</v>
      </c>
      <c r="D42" s="19">
        <v>29</v>
      </c>
      <c r="E42" s="19">
        <v>814</v>
      </c>
      <c r="F42" s="19" t="s">
        <v>47</v>
      </c>
      <c r="G42" s="19" t="s">
        <v>75</v>
      </c>
      <c r="H42" s="19">
        <v>13830</v>
      </c>
      <c r="I42" s="19">
        <v>461</v>
      </c>
      <c r="J42" s="19" t="s">
        <v>172</v>
      </c>
      <c r="K42" s="19">
        <v>59.9</v>
      </c>
      <c r="L42" s="19">
        <v>2020</v>
      </c>
      <c r="M42" s="17">
        <f t="shared" si="9"/>
        <v>1839768.5999999999</v>
      </c>
      <c r="N42" s="17">
        <v>1839768.6</v>
      </c>
      <c r="O42" s="17">
        <v>1839768.6</v>
      </c>
      <c r="P42" s="28">
        <f t="shared" si="2"/>
        <v>1.0000000000000002</v>
      </c>
    </row>
    <row r="43" spans="1:16" ht="38.25" customHeight="1" x14ac:dyDescent="0.25">
      <c r="A43" s="18" t="s">
        <v>390</v>
      </c>
      <c r="B43" s="19">
        <v>14</v>
      </c>
      <c r="C43" s="19">
        <v>1</v>
      </c>
      <c r="D43" s="19">
        <v>29</v>
      </c>
      <c r="E43" s="19">
        <v>814</v>
      </c>
      <c r="F43" s="19" t="s">
        <v>47</v>
      </c>
      <c r="G43" s="19" t="s">
        <v>75</v>
      </c>
      <c r="H43" s="19">
        <v>13830</v>
      </c>
      <c r="I43" s="19">
        <v>461</v>
      </c>
      <c r="J43" s="19" t="s">
        <v>172</v>
      </c>
      <c r="K43" s="19">
        <v>59.9</v>
      </c>
      <c r="L43" s="19">
        <v>2020</v>
      </c>
      <c r="M43" s="17">
        <f t="shared" si="9"/>
        <v>1839768.5999999999</v>
      </c>
      <c r="N43" s="17">
        <v>1839768.6</v>
      </c>
      <c r="O43" s="17">
        <v>1839768.6</v>
      </c>
      <c r="P43" s="28">
        <f t="shared" si="2"/>
        <v>1.0000000000000002</v>
      </c>
    </row>
    <row r="44" spans="1:16" s="34" customFormat="1" ht="80.099999999999994" customHeight="1" x14ac:dyDescent="0.25">
      <c r="A44" s="29" t="s">
        <v>362</v>
      </c>
      <c r="B44" s="30">
        <v>14</v>
      </c>
      <c r="C44" s="30">
        <v>1</v>
      </c>
      <c r="D44" s="30">
        <v>29</v>
      </c>
      <c r="E44" s="30">
        <v>814</v>
      </c>
      <c r="F44" s="30">
        <v>9</v>
      </c>
      <c r="G44" s="30" t="s">
        <v>75</v>
      </c>
      <c r="H44" s="30">
        <v>13830</v>
      </c>
      <c r="I44" s="30">
        <v>461</v>
      </c>
      <c r="J44" s="30"/>
      <c r="K44" s="30"/>
      <c r="L44" s="30"/>
      <c r="M44" s="32">
        <f>SUM(M45:M49)</f>
        <v>5982040.3999999994</v>
      </c>
      <c r="N44" s="32">
        <f t="shared" ref="N44:O44" si="10">SUM(N45:N49)</f>
        <v>5982040.3999999994</v>
      </c>
      <c r="O44" s="32">
        <f t="shared" si="10"/>
        <v>5982040.3999999994</v>
      </c>
      <c r="P44" s="33">
        <f t="shared" si="2"/>
        <v>1</v>
      </c>
    </row>
    <row r="45" spans="1:16" ht="35.25" customHeight="1" x14ac:dyDescent="0.25">
      <c r="A45" s="18" t="s">
        <v>363</v>
      </c>
      <c r="B45" s="19">
        <v>14</v>
      </c>
      <c r="C45" s="19">
        <v>1</v>
      </c>
      <c r="D45" s="19">
        <v>29</v>
      </c>
      <c r="E45" s="19">
        <v>814</v>
      </c>
      <c r="F45" s="19">
        <v>9</v>
      </c>
      <c r="G45" s="19" t="s">
        <v>75</v>
      </c>
      <c r="H45" s="19">
        <v>13830</v>
      </c>
      <c r="I45" s="19">
        <v>461</v>
      </c>
      <c r="J45" s="19" t="s">
        <v>172</v>
      </c>
      <c r="K45" s="19">
        <v>36.299999999999997</v>
      </c>
      <c r="L45" s="19">
        <v>2020</v>
      </c>
      <c r="M45" s="17">
        <f>30412*K45</f>
        <v>1103955.5999999999</v>
      </c>
      <c r="N45" s="17">
        <v>1103955.6000000001</v>
      </c>
      <c r="O45" s="17">
        <v>1103955.6000000001</v>
      </c>
      <c r="P45" s="28">
        <f t="shared" si="2"/>
        <v>1.0000000000000002</v>
      </c>
    </row>
    <row r="46" spans="1:16" ht="35.25" customHeight="1" x14ac:dyDescent="0.25">
      <c r="A46" s="18" t="s">
        <v>363</v>
      </c>
      <c r="B46" s="19">
        <v>14</v>
      </c>
      <c r="C46" s="19">
        <v>1</v>
      </c>
      <c r="D46" s="19">
        <v>29</v>
      </c>
      <c r="E46" s="19">
        <v>814</v>
      </c>
      <c r="F46" s="19">
        <v>9</v>
      </c>
      <c r="G46" s="19" t="s">
        <v>75</v>
      </c>
      <c r="H46" s="19">
        <v>13830</v>
      </c>
      <c r="I46" s="19">
        <v>461</v>
      </c>
      <c r="J46" s="19" t="s">
        <v>172</v>
      </c>
      <c r="K46" s="19">
        <v>39.6</v>
      </c>
      <c r="L46" s="19">
        <v>2020</v>
      </c>
      <c r="M46" s="17">
        <f>30412*K46</f>
        <v>1204315.2</v>
      </c>
      <c r="N46" s="17">
        <v>1204315.2</v>
      </c>
      <c r="O46" s="17">
        <v>1204315.2</v>
      </c>
      <c r="P46" s="28">
        <f t="shared" si="2"/>
        <v>1</v>
      </c>
    </row>
    <row r="47" spans="1:16" ht="38.25" customHeight="1" x14ac:dyDescent="0.25">
      <c r="A47" s="18" t="s">
        <v>363</v>
      </c>
      <c r="B47" s="19">
        <v>14</v>
      </c>
      <c r="C47" s="19">
        <v>1</v>
      </c>
      <c r="D47" s="19">
        <v>29</v>
      </c>
      <c r="E47" s="19">
        <v>814</v>
      </c>
      <c r="F47" s="19" t="s">
        <v>47</v>
      </c>
      <c r="G47" s="19" t="s">
        <v>75</v>
      </c>
      <c r="H47" s="19">
        <v>13830</v>
      </c>
      <c r="I47" s="19">
        <v>461</v>
      </c>
      <c r="J47" s="19" t="s">
        <v>172</v>
      </c>
      <c r="K47" s="19">
        <v>39.9</v>
      </c>
      <c r="L47" s="19">
        <v>2020</v>
      </c>
      <c r="M47" s="17">
        <f>30412*K47</f>
        <v>1213438.8</v>
      </c>
      <c r="N47" s="17">
        <v>1213438.8</v>
      </c>
      <c r="O47" s="17">
        <v>1213438.8</v>
      </c>
      <c r="P47" s="28">
        <f t="shared" si="2"/>
        <v>1</v>
      </c>
    </row>
    <row r="48" spans="1:16" ht="38.25" customHeight="1" x14ac:dyDescent="0.25">
      <c r="A48" s="18" t="s">
        <v>363</v>
      </c>
      <c r="B48" s="19">
        <v>14</v>
      </c>
      <c r="C48" s="19">
        <v>1</v>
      </c>
      <c r="D48" s="19">
        <v>29</v>
      </c>
      <c r="E48" s="19">
        <v>814</v>
      </c>
      <c r="F48" s="19" t="s">
        <v>47</v>
      </c>
      <c r="G48" s="19" t="s">
        <v>75</v>
      </c>
      <c r="H48" s="19">
        <v>13830</v>
      </c>
      <c r="I48" s="19">
        <v>461</v>
      </c>
      <c r="J48" s="19" t="s">
        <v>172</v>
      </c>
      <c r="K48" s="19">
        <v>40.299999999999997</v>
      </c>
      <c r="L48" s="19">
        <v>2020</v>
      </c>
      <c r="M48" s="17">
        <f>30412*K48</f>
        <v>1225603.5999999999</v>
      </c>
      <c r="N48" s="17">
        <v>1225603.6000000001</v>
      </c>
      <c r="O48" s="17">
        <v>1225603.6000000001</v>
      </c>
      <c r="P48" s="28">
        <f t="shared" si="2"/>
        <v>1.0000000000000002</v>
      </c>
    </row>
    <row r="49" spans="1:16" ht="36.75" customHeight="1" x14ac:dyDescent="0.25">
      <c r="A49" s="18" t="s">
        <v>363</v>
      </c>
      <c r="B49" s="19">
        <v>14</v>
      </c>
      <c r="C49" s="19">
        <v>1</v>
      </c>
      <c r="D49" s="19">
        <v>29</v>
      </c>
      <c r="E49" s="19">
        <v>814</v>
      </c>
      <c r="F49" s="19" t="s">
        <v>47</v>
      </c>
      <c r="G49" s="19" t="s">
        <v>75</v>
      </c>
      <c r="H49" s="19">
        <v>13830</v>
      </c>
      <c r="I49" s="19">
        <v>461</v>
      </c>
      <c r="J49" s="19" t="s">
        <v>172</v>
      </c>
      <c r="K49" s="19">
        <v>40.6</v>
      </c>
      <c r="L49" s="19">
        <v>2020</v>
      </c>
      <c r="M49" s="17">
        <f>30412*K49</f>
        <v>1234727.2</v>
      </c>
      <c r="N49" s="17">
        <v>1234727.2</v>
      </c>
      <c r="O49" s="17">
        <v>1234727.2</v>
      </c>
      <c r="P49" s="28">
        <f t="shared" si="2"/>
        <v>1</v>
      </c>
    </row>
    <row r="50" spans="1:16" s="34" customFormat="1" ht="80.099999999999994" customHeight="1" x14ac:dyDescent="0.25">
      <c r="A50" s="29" t="s">
        <v>107</v>
      </c>
      <c r="B50" s="30" t="s">
        <v>70</v>
      </c>
      <c r="C50" s="30" t="s">
        <v>13</v>
      </c>
      <c r="D50" s="30" t="s">
        <v>100</v>
      </c>
      <c r="E50" s="30" t="s">
        <v>102</v>
      </c>
      <c r="F50" s="30" t="s">
        <v>47</v>
      </c>
      <c r="G50" s="30" t="s">
        <v>75</v>
      </c>
      <c r="H50" s="30" t="s">
        <v>104</v>
      </c>
      <c r="I50" s="30" t="s">
        <v>108</v>
      </c>
      <c r="J50" s="30" t="s">
        <v>0</v>
      </c>
      <c r="K50" s="30" t="s">
        <v>0</v>
      </c>
      <c r="L50" s="30" t="s">
        <v>0</v>
      </c>
      <c r="M50" s="32">
        <f>M51</f>
        <v>1377663.5999999999</v>
      </c>
      <c r="N50" s="32">
        <f t="shared" ref="N50:O50" si="11">N51</f>
        <v>1377663.6</v>
      </c>
      <c r="O50" s="32">
        <f t="shared" si="11"/>
        <v>1377663.6</v>
      </c>
      <c r="P50" s="33">
        <f t="shared" si="2"/>
        <v>1.0000000000000002</v>
      </c>
    </row>
    <row r="51" spans="1:16" s="34" customFormat="1" ht="67.5" customHeight="1" x14ac:dyDescent="0.25">
      <c r="A51" s="29" t="s">
        <v>369</v>
      </c>
      <c r="B51" s="30" t="s">
        <v>70</v>
      </c>
      <c r="C51" s="30" t="s">
        <v>13</v>
      </c>
      <c r="D51" s="30" t="s">
        <v>100</v>
      </c>
      <c r="E51" s="30" t="s">
        <v>102</v>
      </c>
      <c r="F51" s="30" t="s">
        <v>47</v>
      </c>
      <c r="G51" s="30" t="s">
        <v>75</v>
      </c>
      <c r="H51" s="30" t="s">
        <v>104</v>
      </c>
      <c r="I51" s="30" t="s">
        <v>108</v>
      </c>
      <c r="J51" s="30"/>
      <c r="K51" s="30"/>
      <c r="L51" s="30"/>
      <c r="M51" s="32">
        <f>M52</f>
        <v>1377663.5999999999</v>
      </c>
      <c r="N51" s="32">
        <f t="shared" ref="N51:O51" si="12">N52</f>
        <v>1377663.6</v>
      </c>
      <c r="O51" s="32">
        <f t="shared" si="12"/>
        <v>1377663.6</v>
      </c>
      <c r="P51" s="33">
        <f t="shared" si="2"/>
        <v>1.0000000000000002</v>
      </c>
    </row>
    <row r="52" spans="1:16" ht="36.75" customHeight="1" x14ac:dyDescent="0.25">
      <c r="A52" s="18" t="s">
        <v>370</v>
      </c>
      <c r="B52" s="19" t="s">
        <v>70</v>
      </c>
      <c r="C52" s="19" t="s">
        <v>13</v>
      </c>
      <c r="D52" s="19" t="s">
        <v>100</v>
      </c>
      <c r="E52" s="19" t="s">
        <v>102</v>
      </c>
      <c r="F52" s="19" t="s">
        <v>47</v>
      </c>
      <c r="G52" s="19" t="s">
        <v>75</v>
      </c>
      <c r="H52" s="19" t="s">
        <v>104</v>
      </c>
      <c r="I52" s="19" t="s">
        <v>108</v>
      </c>
      <c r="J52" s="19" t="s">
        <v>172</v>
      </c>
      <c r="K52" s="19">
        <v>45.3</v>
      </c>
      <c r="L52" s="19">
        <v>2020</v>
      </c>
      <c r="M52" s="17">
        <f>30412*K52</f>
        <v>1377663.5999999999</v>
      </c>
      <c r="N52" s="17">
        <v>1377663.6</v>
      </c>
      <c r="O52" s="17">
        <v>1377663.6</v>
      </c>
      <c r="P52" s="28">
        <f t="shared" si="2"/>
        <v>1.0000000000000002</v>
      </c>
    </row>
    <row r="53" spans="1:16" s="34" customFormat="1" ht="64.5" customHeight="1" x14ac:dyDescent="0.25">
      <c r="A53" s="29" t="s">
        <v>184</v>
      </c>
      <c r="B53" s="30" t="s">
        <v>185</v>
      </c>
      <c r="C53" s="30" t="s">
        <v>0</v>
      </c>
      <c r="D53" s="30" t="s">
        <v>0</v>
      </c>
      <c r="E53" s="30" t="s">
        <v>0</v>
      </c>
      <c r="F53" s="30" t="s">
        <v>0</v>
      </c>
      <c r="G53" s="30" t="s">
        <v>0</v>
      </c>
      <c r="H53" s="31" t="s">
        <v>0</v>
      </c>
      <c r="I53" s="31" t="s">
        <v>0</v>
      </c>
      <c r="J53" s="31" t="s">
        <v>0</v>
      </c>
      <c r="K53" s="31" t="s">
        <v>0</v>
      </c>
      <c r="L53" s="31" t="s">
        <v>0</v>
      </c>
      <c r="M53" s="32">
        <f t="shared" ref="M53:O59" si="13">M54</f>
        <v>42900</v>
      </c>
      <c r="N53" s="32">
        <f t="shared" si="13"/>
        <v>30000</v>
      </c>
      <c r="O53" s="32">
        <f t="shared" si="13"/>
        <v>30000</v>
      </c>
      <c r="P53" s="33">
        <f t="shared" si="2"/>
        <v>0.69930069930069927</v>
      </c>
    </row>
    <row r="54" spans="1:16" s="34" customFormat="1" ht="48.9" customHeight="1" x14ac:dyDescent="0.25">
      <c r="A54" s="29" t="s">
        <v>186</v>
      </c>
      <c r="B54" s="30" t="s">
        <v>185</v>
      </c>
      <c r="C54" s="30" t="s">
        <v>19</v>
      </c>
      <c r="D54" s="30" t="s">
        <v>0</v>
      </c>
      <c r="E54" s="30" t="s">
        <v>0</v>
      </c>
      <c r="F54" s="30" t="s">
        <v>0</v>
      </c>
      <c r="G54" s="30" t="s">
        <v>0</v>
      </c>
      <c r="H54" s="31" t="s">
        <v>0</v>
      </c>
      <c r="I54" s="31" t="s">
        <v>0</v>
      </c>
      <c r="J54" s="31" t="s">
        <v>0</v>
      </c>
      <c r="K54" s="31" t="s">
        <v>0</v>
      </c>
      <c r="L54" s="31" t="s">
        <v>0</v>
      </c>
      <c r="M54" s="32">
        <f t="shared" si="13"/>
        <v>42900</v>
      </c>
      <c r="N54" s="32">
        <f t="shared" si="13"/>
        <v>30000</v>
      </c>
      <c r="O54" s="32">
        <f t="shared" si="13"/>
        <v>30000</v>
      </c>
      <c r="P54" s="33">
        <f t="shared" si="2"/>
        <v>0.69930069930069927</v>
      </c>
    </row>
    <row r="55" spans="1:16" s="34" customFormat="1" ht="96.6" customHeight="1" x14ac:dyDescent="0.25">
      <c r="A55" s="29" t="s">
        <v>187</v>
      </c>
      <c r="B55" s="30" t="s">
        <v>185</v>
      </c>
      <c r="C55" s="30" t="s">
        <v>19</v>
      </c>
      <c r="D55" s="30" t="s">
        <v>188</v>
      </c>
      <c r="E55" s="30" t="s">
        <v>0</v>
      </c>
      <c r="F55" s="30" t="s">
        <v>0</v>
      </c>
      <c r="G55" s="30" t="s">
        <v>0</v>
      </c>
      <c r="H55" s="31" t="s">
        <v>0</v>
      </c>
      <c r="I55" s="31" t="s">
        <v>0</v>
      </c>
      <c r="J55" s="31" t="s">
        <v>0</v>
      </c>
      <c r="K55" s="31" t="s">
        <v>0</v>
      </c>
      <c r="L55" s="31" t="s">
        <v>0</v>
      </c>
      <c r="M55" s="32">
        <f t="shared" si="13"/>
        <v>42900</v>
      </c>
      <c r="N55" s="32">
        <f t="shared" si="13"/>
        <v>30000</v>
      </c>
      <c r="O55" s="32">
        <f t="shared" si="13"/>
        <v>30000</v>
      </c>
      <c r="P55" s="33">
        <f t="shared" si="2"/>
        <v>0.69930069930069927</v>
      </c>
    </row>
    <row r="56" spans="1:16" s="34" customFormat="1" ht="32.25" customHeight="1" x14ac:dyDescent="0.25">
      <c r="A56" s="29" t="s">
        <v>189</v>
      </c>
      <c r="B56" s="30" t="s">
        <v>185</v>
      </c>
      <c r="C56" s="30" t="s">
        <v>19</v>
      </c>
      <c r="D56" s="30" t="s">
        <v>188</v>
      </c>
      <c r="E56" s="30" t="s">
        <v>190</v>
      </c>
      <c r="F56" s="30" t="s">
        <v>0</v>
      </c>
      <c r="G56" s="30" t="s">
        <v>0</v>
      </c>
      <c r="H56" s="31" t="s">
        <v>0</v>
      </c>
      <c r="I56" s="31" t="s">
        <v>0</v>
      </c>
      <c r="J56" s="31" t="s">
        <v>0</v>
      </c>
      <c r="K56" s="31" t="s">
        <v>0</v>
      </c>
      <c r="L56" s="31" t="s">
        <v>0</v>
      </c>
      <c r="M56" s="32">
        <f t="shared" si="13"/>
        <v>42900</v>
      </c>
      <c r="N56" s="32">
        <f t="shared" si="13"/>
        <v>30000</v>
      </c>
      <c r="O56" s="32">
        <f t="shared" si="13"/>
        <v>30000</v>
      </c>
      <c r="P56" s="33">
        <f t="shared" si="2"/>
        <v>0.69930069930069927</v>
      </c>
    </row>
    <row r="57" spans="1:16" s="34" customFormat="1" ht="15" customHeight="1" x14ac:dyDescent="0.25">
      <c r="A57" s="35" t="s">
        <v>44</v>
      </c>
      <c r="B57" s="30" t="s">
        <v>185</v>
      </c>
      <c r="C57" s="30" t="s">
        <v>19</v>
      </c>
      <c r="D57" s="30" t="s">
        <v>188</v>
      </c>
      <c r="E57" s="30" t="s">
        <v>190</v>
      </c>
      <c r="F57" s="30" t="s">
        <v>45</v>
      </c>
      <c r="G57" s="30" t="s">
        <v>0</v>
      </c>
      <c r="H57" s="30" t="s">
        <v>0</v>
      </c>
      <c r="I57" s="30" t="s">
        <v>0</v>
      </c>
      <c r="J57" s="30" t="s">
        <v>0</v>
      </c>
      <c r="K57" s="30" t="s">
        <v>0</v>
      </c>
      <c r="L57" s="30" t="s">
        <v>0</v>
      </c>
      <c r="M57" s="32">
        <f t="shared" si="13"/>
        <v>42900</v>
      </c>
      <c r="N57" s="32">
        <f t="shared" si="13"/>
        <v>30000</v>
      </c>
      <c r="O57" s="32">
        <f t="shared" si="13"/>
        <v>30000</v>
      </c>
      <c r="P57" s="33">
        <f t="shared" si="2"/>
        <v>0.69930069930069927</v>
      </c>
    </row>
    <row r="58" spans="1:16" s="34" customFormat="1" ht="32.25" customHeight="1" x14ac:dyDescent="0.25">
      <c r="A58" s="35" t="s">
        <v>191</v>
      </c>
      <c r="B58" s="30" t="s">
        <v>185</v>
      </c>
      <c r="C58" s="30" t="s">
        <v>19</v>
      </c>
      <c r="D58" s="30" t="s">
        <v>188</v>
      </c>
      <c r="E58" s="30" t="s">
        <v>190</v>
      </c>
      <c r="F58" s="30" t="s">
        <v>45</v>
      </c>
      <c r="G58" s="30" t="s">
        <v>24</v>
      </c>
      <c r="H58" s="30" t="s">
        <v>0</v>
      </c>
      <c r="I58" s="30" t="s">
        <v>0</v>
      </c>
      <c r="J58" s="30" t="s">
        <v>0</v>
      </c>
      <c r="K58" s="30" t="s">
        <v>0</v>
      </c>
      <c r="L58" s="30" t="s">
        <v>0</v>
      </c>
      <c r="M58" s="32">
        <f t="shared" si="13"/>
        <v>42900</v>
      </c>
      <c r="N58" s="32">
        <f t="shared" si="13"/>
        <v>30000</v>
      </c>
      <c r="O58" s="32">
        <f t="shared" si="13"/>
        <v>30000</v>
      </c>
      <c r="P58" s="33">
        <f t="shared" si="2"/>
        <v>0.69930069930069927</v>
      </c>
    </row>
    <row r="59" spans="1:16" s="34" customFormat="1" ht="64.5" customHeight="1" x14ac:dyDescent="0.25">
      <c r="A59" s="29" t="s">
        <v>192</v>
      </c>
      <c r="B59" s="30" t="s">
        <v>185</v>
      </c>
      <c r="C59" s="30" t="s">
        <v>19</v>
      </c>
      <c r="D59" s="30" t="s">
        <v>188</v>
      </c>
      <c r="E59" s="30" t="s">
        <v>190</v>
      </c>
      <c r="F59" s="30" t="s">
        <v>45</v>
      </c>
      <c r="G59" s="30" t="s">
        <v>24</v>
      </c>
      <c r="H59" s="30" t="s">
        <v>193</v>
      </c>
      <c r="I59" s="31" t="s">
        <v>0</v>
      </c>
      <c r="J59" s="31" t="s">
        <v>0</v>
      </c>
      <c r="K59" s="31" t="s">
        <v>0</v>
      </c>
      <c r="L59" s="31" t="s">
        <v>0</v>
      </c>
      <c r="M59" s="32">
        <f t="shared" si="13"/>
        <v>42900</v>
      </c>
      <c r="N59" s="32">
        <f t="shared" si="13"/>
        <v>30000</v>
      </c>
      <c r="O59" s="32">
        <f t="shared" si="13"/>
        <v>30000</v>
      </c>
      <c r="P59" s="33">
        <f t="shared" si="2"/>
        <v>0.69930069930069927</v>
      </c>
    </row>
    <row r="60" spans="1:16" s="34" customFormat="1" ht="80.099999999999994" customHeight="1" x14ac:dyDescent="0.25">
      <c r="A60" s="29" t="s">
        <v>194</v>
      </c>
      <c r="B60" s="30" t="s">
        <v>185</v>
      </c>
      <c r="C60" s="30" t="s">
        <v>19</v>
      </c>
      <c r="D60" s="30" t="s">
        <v>188</v>
      </c>
      <c r="E60" s="30" t="s">
        <v>190</v>
      </c>
      <c r="F60" s="30" t="s">
        <v>45</v>
      </c>
      <c r="G60" s="30" t="s">
        <v>24</v>
      </c>
      <c r="H60" s="30" t="s">
        <v>193</v>
      </c>
      <c r="I60" s="30" t="s">
        <v>195</v>
      </c>
      <c r="J60" s="30" t="s">
        <v>0</v>
      </c>
      <c r="K60" s="30" t="s">
        <v>0</v>
      </c>
      <c r="L60" s="30" t="s">
        <v>0</v>
      </c>
      <c r="M60" s="32">
        <f>M61+M62</f>
        <v>42900</v>
      </c>
      <c r="N60" s="32">
        <f t="shared" ref="N60:O60" si="14">N61+N62</f>
        <v>30000</v>
      </c>
      <c r="O60" s="32">
        <f t="shared" si="14"/>
        <v>30000</v>
      </c>
      <c r="P60" s="33">
        <f t="shared" si="2"/>
        <v>0.69930069930069927</v>
      </c>
    </row>
    <row r="61" spans="1:16" ht="32.25" customHeight="1" x14ac:dyDescent="0.25">
      <c r="A61" s="18" t="s">
        <v>325</v>
      </c>
      <c r="B61" s="19" t="s">
        <v>185</v>
      </c>
      <c r="C61" s="19" t="s">
        <v>19</v>
      </c>
      <c r="D61" s="19" t="s">
        <v>188</v>
      </c>
      <c r="E61" s="19" t="s">
        <v>190</v>
      </c>
      <c r="F61" s="19" t="s">
        <v>45</v>
      </c>
      <c r="G61" s="19" t="s">
        <v>24</v>
      </c>
      <c r="H61" s="19" t="s">
        <v>193</v>
      </c>
      <c r="I61" s="19" t="s">
        <v>195</v>
      </c>
      <c r="J61" s="21" t="s">
        <v>0</v>
      </c>
      <c r="K61" s="21" t="s">
        <v>0</v>
      </c>
      <c r="L61" s="21" t="s">
        <v>0</v>
      </c>
      <c r="M61" s="17">
        <v>12900</v>
      </c>
      <c r="N61" s="17">
        <v>0</v>
      </c>
      <c r="O61" s="17">
        <v>0</v>
      </c>
      <c r="P61" s="28">
        <f t="shared" si="2"/>
        <v>0</v>
      </c>
    </row>
    <row r="62" spans="1:16" ht="93.6" x14ac:dyDescent="0.25">
      <c r="A62" s="18" t="s">
        <v>374</v>
      </c>
      <c r="B62" s="19" t="s">
        <v>185</v>
      </c>
      <c r="C62" s="19" t="s">
        <v>19</v>
      </c>
      <c r="D62" s="19" t="s">
        <v>188</v>
      </c>
      <c r="E62" s="19" t="s">
        <v>190</v>
      </c>
      <c r="F62" s="19" t="s">
        <v>45</v>
      </c>
      <c r="G62" s="19" t="s">
        <v>24</v>
      </c>
      <c r="H62" s="19" t="s">
        <v>193</v>
      </c>
      <c r="I62" s="19" t="s">
        <v>195</v>
      </c>
      <c r="J62" s="21" t="s">
        <v>172</v>
      </c>
      <c r="K62" s="21">
        <v>16230</v>
      </c>
      <c r="L62" s="21">
        <v>2020</v>
      </c>
      <c r="M62" s="17">
        <v>30000</v>
      </c>
      <c r="N62" s="17">
        <v>30000</v>
      </c>
      <c r="O62" s="17">
        <v>30000</v>
      </c>
      <c r="P62" s="28">
        <f t="shared" si="2"/>
        <v>1</v>
      </c>
    </row>
    <row r="67" spans="1:16" ht="22.8" x14ac:dyDescent="0.25">
      <c r="A67" s="43" t="s">
        <v>412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47" t="s">
        <v>413</v>
      </c>
      <c r="O67" s="47"/>
      <c r="P67" s="47"/>
    </row>
    <row r="68" spans="1:16" ht="49.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s="12" customFormat="1" ht="49.5" customHeight="1" x14ac:dyDescent="0.25"/>
    <row r="70" spans="1:16" s="12" customFormat="1" ht="49.5" customHeight="1" x14ac:dyDescent="0.25"/>
    <row r="71" spans="1:16" s="12" customFormat="1" ht="49.5" customHeight="1" x14ac:dyDescent="0.25"/>
    <row r="72" spans="1:16" s="12" customFormat="1" ht="49.5" customHeight="1" x14ac:dyDescent="0.25"/>
    <row r="73" spans="1:16" s="12" customFormat="1" ht="49.5" customHeight="1" x14ac:dyDescent="0.25"/>
    <row r="74" spans="1:16" s="12" customFormat="1" ht="49.5" customHeight="1" x14ac:dyDescent="0.25"/>
    <row r="75" spans="1:16" s="12" customFormat="1" ht="49.5" customHeight="1" x14ac:dyDescent="0.25"/>
    <row r="76" spans="1:16" s="12" customFormat="1" ht="49.5" customHeight="1" x14ac:dyDescent="0.25"/>
    <row r="77" spans="1:16" s="12" customFormat="1" ht="49.5" customHeight="1" x14ac:dyDescent="0.25">
      <c r="A77" s="11"/>
      <c r="M77" s="13"/>
    </row>
    <row r="78" spans="1:16" s="12" customFormat="1" ht="36" x14ac:dyDescent="0.25">
      <c r="A78" s="12" t="s">
        <v>414</v>
      </c>
      <c r="M78" s="13"/>
    </row>
    <row r="79" spans="1:16" s="12" customFormat="1" ht="18" x14ac:dyDescent="0.25">
      <c r="A79" s="11"/>
      <c r="M79" s="13"/>
    </row>
    <row r="80" spans="1:16" s="12" customFormat="1" ht="18" x14ac:dyDescent="0.25">
      <c r="A80" s="11"/>
      <c r="M80" s="13"/>
    </row>
    <row r="81" spans="1:1" ht="13.8" x14ac:dyDescent="0.25">
      <c r="A81" s="14"/>
    </row>
    <row r="82" spans="1:1" ht="13.8" x14ac:dyDescent="0.25">
      <c r="A82" s="14"/>
    </row>
  </sheetData>
  <autoFilter ref="A5:O5"/>
  <mergeCells count="4">
    <mergeCell ref="A1:P1"/>
    <mergeCell ref="A2:P2"/>
    <mergeCell ref="A3:P3"/>
    <mergeCell ref="N67:P6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2021-03-10T09:21:23Z</dcterms:modified>
</cp:coreProperties>
</file>